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i Prasath D P\Downloads\"/>
    </mc:Choice>
  </mc:AlternateContent>
  <xr:revisionPtr revIDLastSave="0" documentId="8_{C3E40065-9141-4711-9589-75EBDB821402}" xr6:coauthVersionLast="47" xr6:coauthVersionMax="47" xr10:uidLastSave="{00000000-0000-0000-0000-000000000000}"/>
  <bookViews>
    <workbookView xWindow="-108" yWindow="-108" windowWidth="23256" windowHeight="12456" firstSheet="1" xr2:uid="{5500544F-BA0A-4173-A414-2976E1A267B7}"/>
  </bookViews>
  <sheets>
    <sheet name="Dashboard" sheetId="9" r:id="rId1"/>
    <sheet name="Historical_Data" sheetId="10" r:id="rId2"/>
    <sheet name="Assumptions" sheetId="11" r:id="rId3"/>
    <sheet name="Forecast_Model" sheetId="12" r:id="rId4"/>
    <sheet name="Validation" sheetId="13" r:id="rId5"/>
    <sheet name="Sources" sheetId="14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1" l="1"/>
  <c r="C34" i="11"/>
  <c r="F5" i="11"/>
  <c r="C26" i="11" s="1"/>
  <c r="G10" i="9"/>
  <c r="C23" i="9"/>
  <c r="D23" i="9"/>
  <c r="E23" i="9"/>
  <c r="F23" i="9"/>
  <c r="G23" i="9"/>
  <c r="H23" i="9"/>
  <c r="I23" i="9"/>
  <c r="J23" i="9"/>
  <c r="E74" i="9"/>
  <c r="E75" i="9"/>
  <c r="E76" i="9"/>
  <c r="D74" i="9"/>
  <c r="D75" i="9"/>
  <c r="D76" i="9"/>
  <c r="G76" i="9"/>
  <c r="F76" i="9"/>
  <c r="C76" i="9"/>
  <c r="G75" i="9"/>
  <c r="F75" i="9"/>
  <c r="C75" i="9"/>
  <c r="G74" i="9"/>
  <c r="F74" i="9"/>
  <c r="C74" i="9"/>
  <c r="C29" i="12"/>
  <c r="I21" i="9"/>
  <c r="H21" i="9"/>
  <c r="G21" i="9"/>
  <c r="F21" i="9"/>
  <c r="E21" i="9"/>
  <c r="D21" i="9"/>
  <c r="C21" i="9"/>
  <c r="J21" i="9"/>
  <c r="J18" i="10"/>
  <c r="I18" i="10"/>
  <c r="H18" i="10"/>
  <c r="G18" i="10"/>
  <c r="F18" i="10"/>
  <c r="E18" i="10"/>
  <c r="D18" i="10"/>
  <c r="C18" i="10"/>
  <c r="C28" i="12"/>
  <c r="C27" i="12"/>
  <c r="C26" i="12"/>
  <c r="C7" i="9"/>
  <c r="E22" i="9"/>
  <c r="F22" i="9"/>
  <c r="G22" i="9"/>
  <c r="H22" i="9"/>
  <c r="C20" i="9"/>
  <c r="D20" i="9"/>
  <c r="E20" i="9"/>
  <c r="F20" i="9"/>
  <c r="G20" i="9"/>
  <c r="H20" i="9"/>
  <c r="I20" i="9"/>
  <c r="I22" i="9"/>
  <c r="J20" i="9"/>
  <c r="C19" i="9"/>
  <c r="D19" i="9"/>
  <c r="E19" i="9"/>
  <c r="F19" i="9"/>
  <c r="G19" i="9"/>
  <c r="H19" i="9"/>
  <c r="I19" i="9"/>
  <c r="J19" i="9"/>
  <c r="C18" i="9"/>
  <c r="D18" i="9"/>
  <c r="E18" i="9"/>
  <c r="F18" i="9"/>
  <c r="G18" i="9"/>
  <c r="H18" i="9"/>
  <c r="I18" i="9"/>
  <c r="J18" i="9"/>
  <c r="C17" i="9"/>
  <c r="D17" i="9"/>
  <c r="E17" i="9"/>
  <c r="F17" i="9"/>
  <c r="G17" i="9"/>
  <c r="H17" i="9"/>
  <c r="I17" i="9"/>
  <c r="J17" i="9"/>
  <c r="E21" i="10"/>
  <c r="E22" i="10"/>
  <c r="E23" i="10"/>
  <c r="D21" i="10"/>
  <c r="D22" i="10"/>
  <c r="D23" i="10"/>
  <c r="C21" i="10"/>
  <c r="C22" i="10"/>
  <c r="C23" i="10"/>
  <c r="D15" i="10"/>
  <c r="E15" i="10"/>
  <c r="F15" i="10"/>
  <c r="G15" i="10"/>
  <c r="H15" i="10"/>
  <c r="I15" i="10"/>
  <c r="J15" i="10"/>
  <c r="C14" i="10"/>
  <c r="D14" i="10"/>
  <c r="E14" i="10"/>
  <c r="F14" i="10"/>
  <c r="G14" i="10"/>
  <c r="H14" i="10"/>
  <c r="I14" i="10"/>
  <c r="J14" i="10"/>
  <c r="C13" i="10"/>
  <c r="D13" i="10"/>
  <c r="E13" i="10"/>
  <c r="F13" i="10"/>
  <c r="G13" i="10"/>
  <c r="H13" i="10"/>
  <c r="I13" i="10"/>
  <c r="J13" i="10"/>
  <c r="G19" i="13"/>
  <c r="G16" i="13"/>
  <c r="E16" i="13"/>
  <c r="C17" i="12"/>
  <c r="C9" i="12"/>
  <c r="C15" i="12"/>
  <c r="C8" i="12"/>
  <c r="C22" i="12"/>
  <c r="G8" i="9"/>
  <c r="C7" i="12"/>
  <c r="C20" i="12"/>
  <c r="G7" i="9"/>
  <c r="C6" i="12"/>
  <c r="C13" i="12"/>
  <c r="G6" i="9"/>
  <c r="J22" i="9"/>
  <c r="D22" i="9"/>
  <c r="C22" i="9"/>
  <c r="C14" i="12"/>
  <c r="G13" i="9"/>
  <c r="C21" i="12"/>
  <c r="G12" i="9"/>
  <c r="C30" i="12"/>
  <c r="C29" i="11"/>
  <c r="C31" i="11"/>
  <c r="C23" i="11"/>
  <c r="C25" i="11"/>
  <c r="E34" i="12" s="1"/>
  <c r="C18" i="12"/>
  <c r="G9" i="9"/>
  <c r="C16" i="12"/>
  <c r="G11" i="9"/>
  <c r="F4" i="9"/>
  <c r="G5" i="12"/>
  <c r="E19" i="13"/>
  <c r="G12" i="13" l="1"/>
  <c r="C32" i="11"/>
  <c r="C27" i="11"/>
  <c r="E16" i="12" s="1"/>
  <c r="F14" i="12"/>
  <c r="J13" i="9" s="1"/>
  <c r="L13" i="9" s="1"/>
  <c r="C24" i="11"/>
  <c r="C30" i="11"/>
  <c r="E13" i="13"/>
  <c r="D16" i="12"/>
  <c r="G13" i="13"/>
  <c r="E12" i="13"/>
  <c r="C28" i="11"/>
  <c r="F16" i="12" s="1"/>
  <c r="C34" i="12"/>
  <c r="D14" i="12"/>
  <c r="H13" i="9" s="1"/>
  <c r="D13" i="12"/>
  <c r="G14" i="13" l="1"/>
  <c r="E14" i="13"/>
  <c r="C19" i="12"/>
  <c r="L22" i="9"/>
  <c r="I11" i="9"/>
  <c r="E14" i="12"/>
  <c r="I13" i="9" s="1"/>
  <c r="K13" i="9" s="1"/>
  <c r="M13" i="9" s="1"/>
  <c r="D34" i="12"/>
  <c r="D15" i="12"/>
  <c r="H6" i="9"/>
  <c r="D17" i="12"/>
  <c r="D27" i="12" s="1"/>
  <c r="E13" i="12"/>
  <c r="D28" i="12"/>
  <c r="K17" i="9"/>
  <c r="K22" i="9"/>
  <c r="H11" i="9"/>
  <c r="J11" i="9"/>
  <c r="M22" i="9"/>
  <c r="L11" i="9" l="1"/>
  <c r="K11" i="9"/>
  <c r="M11" i="9" s="1"/>
  <c r="F13" i="12"/>
  <c r="L17" i="9"/>
  <c r="I6" i="9"/>
  <c r="E17" i="12"/>
  <c r="E27" i="12" s="1"/>
  <c r="E15" i="12"/>
  <c r="E28" i="12"/>
  <c r="H9" i="9"/>
  <c r="D18" i="12"/>
  <c r="K20" i="9"/>
  <c r="L20" i="9" l="1"/>
  <c r="I9" i="9"/>
  <c r="E18" i="12"/>
  <c r="D19" i="12"/>
  <c r="D20" i="12" s="1"/>
  <c r="F15" i="12"/>
  <c r="M17" i="9"/>
  <c r="J6" i="9"/>
  <c r="F17" i="12"/>
  <c r="F27" i="12" s="1"/>
  <c r="F28" i="12"/>
  <c r="G9" i="13"/>
  <c r="E9" i="13"/>
  <c r="D26" i="12" l="1"/>
  <c r="D29" i="12" s="1"/>
  <c r="K18" i="9"/>
  <c r="K23" i="9" s="1"/>
  <c r="D22" i="12"/>
  <c r="H7" i="9"/>
  <c r="D21" i="12"/>
  <c r="C35" i="12"/>
  <c r="E18" i="13"/>
  <c r="L6" i="9"/>
  <c r="K6" i="9"/>
  <c r="M6" i="9" s="1"/>
  <c r="J9" i="9"/>
  <c r="M20" i="9"/>
  <c r="F18" i="12"/>
  <c r="E19" i="12"/>
  <c r="E20" i="12" s="1"/>
  <c r="E22" i="12" l="1"/>
  <c r="E21" i="12"/>
  <c r="I12" i="9" s="1"/>
  <c r="L18" i="9"/>
  <c r="L23" i="9" s="1"/>
  <c r="I7" i="9"/>
  <c r="E26" i="12"/>
  <c r="E29" i="12" s="1"/>
  <c r="D35" i="12"/>
  <c r="K9" i="9"/>
  <c r="M9" i="9" s="1"/>
  <c r="L9" i="9"/>
  <c r="G17" i="13"/>
  <c r="H12" i="9"/>
  <c r="E17" i="13"/>
  <c r="H8" i="9"/>
  <c r="C36" i="12"/>
  <c r="K19" i="9"/>
  <c r="F19" i="12"/>
  <c r="F20" i="12" s="1"/>
  <c r="D30" i="12"/>
  <c r="H10" i="9"/>
  <c r="C37" i="12"/>
  <c r="K21" i="9"/>
  <c r="E35" i="12" l="1"/>
  <c r="F21" i="12"/>
  <c r="J12" i="9" s="1"/>
  <c r="F26" i="12"/>
  <c r="F29" i="12" s="1"/>
  <c r="M18" i="9"/>
  <c r="M23" i="9" s="1"/>
  <c r="J7" i="9"/>
  <c r="F22" i="12"/>
  <c r="E10" i="13"/>
  <c r="G10" i="13"/>
  <c r="L21" i="9"/>
  <c r="E30" i="12"/>
  <c r="D37" i="12"/>
  <c r="I10" i="9"/>
  <c r="L19" i="9"/>
  <c r="I8" i="9"/>
  <c r="D36" i="12"/>
  <c r="L7" i="9" l="1"/>
  <c r="K7" i="9"/>
  <c r="M7" i="9" s="1"/>
  <c r="F30" i="12"/>
  <c r="E37" i="12"/>
  <c r="M21" i="9"/>
  <c r="J10" i="9"/>
  <c r="E15" i="13"/>
  <c r="C7" i="13" s="1"/>
  <c r="K12" i="9"/>
  <c r="M12" i="9" s="1"/>
  <c r="L12" i="9"/>
  <c r="M19" i="9"/>
  <c r="E36" i="12"/>
  <c r="J8" i="9"/>
  <c r="E11" i="13"/>
  <c r="G11" i="13"/>
  <c r="G15" i="13"/>
  <c r="C6" i="13" l="1"/>
  <c r="L10" i="9"/>
  <c r="K10" i="9"/>
  <c r="M10" i="9" s="1"/>
  <c r="K8" i="9"/>
  <c r="M8" i="9" s="1"/>
  <c r="L8" i="9"/>
  <c r="C5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<sst xmlns="http://schemas.openxmlformats.org/spreadsheetml/2006/main" count="509" uniqueCount="385">
  <si>
    <t>Particulars</t>
  </si>
  <si>
    <t>Revenue (Cr)</t>
  </si>
  <si>
    <t>Cr</t>
  </si>
  <si>
    <t>EBITDA (Cr)</t>
  </si>
  <si>
    <t>Net Profit (Cr)</t>
  </si>
  <si>
    <t>EPS (INR)</t>
  </si>
  <si>
    <t>INR</t>
  </si>
  <si>
    <t>Shares Outstanding (Cr)</t>
  </si>
  <si>
    <t>Parameter</t>
  </si>
  <si>
    <t>Base Case</t>
  </si>
  <si>
    <t>Bull Case</t>
  </si>
  <si>
    <t>Bear Case</t>
  </si>
  <si>
    <t>Unit</t>
  </si>
  <si>
    <t>Notes</t>
  </si>
  <si>
    <t>%</t>
  </si>
  <si>
    <t>Tax Rate</t>
  </si>
  <si>
    <t>Active Value</t>
  </si>
  <si>
    <t>Revenue Growth FY26</t>
  </si>
  <si>
    <t>Revenue Growth FY27</t>
  </si>
  <si>
    <t>Revenue Growth FY28</t>
  </si>
  <si>
    <t>All projections dynamically linked to Assumptions sheet | Values in INR Crores</t>
  </si>
  <si>
    <t>Metric</t>
  </si>
  <si>
    <t>Source</t>
  </si>
  <si>
    <t>Historical Data</t>
  </si>
  <si>
    <t>FY2025 (Actual)</t>
  </si>
  <si>
    <t>Revenue</t>
  </si>
  <si>
    <t>EBITDA</t>
  </si>
  <si>
    <t>Depreciation</t>
  </si>
  <si>
    <t>EBIT</t>
  </si>
  <si>
    <t>Net Profit</t>
  </si>
  <si>
    <t>EPS</t>
  </si>
  <si>
    <t>(+) Depreciation</t>
  </si>
  <si>
    <t>Free Cash Flow (FCF)</t>
  </si>
  <si>
    <t>FY18</t>
  </si>
  <si>
    <t>FY19</t>
  </si>
  <si>
    <t>FY20</t>
  </si>
  <si>
    <t>FY21</t>
  </si>
  <si>
    <t>FY22</t>
  </si>
  <si>
    <t>FY23</t>
  </si>
  <si>
    <t>FY24</t>
  </si>
  <si>
    <t>FY25</t>
  </si>
  <si>
    <t>FY26F</t>
  </si>
  <si>
    <t>FY27F</t>
  </si>
  <si>
    <t>Check #</t>
  </si>
  <si>
    <t>Validation Check</t>
  </si>
  <si>
    <t>Condition</t>
  </si>
  <si>
    <t>Status</t>
  </si>
  <si>
    <t>Details</t>
  </si>
  <si>
    <t>All revenues &gt; 0</t>
  </si>
  <si>
    <t>Positive Net Profit FY26-FY28</t>
  </si>
  <si>
    <t>All net profits &gt; 0</t>
  </si>
  <si>
    <t>Positive EPS FY26-FY28</t>
  </si>
  <si>
    <t>Revenue Growth Reasonability</t>
  </si>
  <si>
    <t>Tax Rate Reasonability</t>
  </si>
  <si>
    <t>Scenario</t>
  </si>
  <si>
    <t>✅ KEY STRENGTHS</t>
  </si>
  <si>
    <t>Revenue Growth %</t>
  </si>
  <si>
    <t>Location</t>
  </si>
  <si>
    <t>🟢 Base Case</t>
  </si>
  <si>
    <t>🔵 Bull Case</t>
  </si>
  <si>
    <t>🔴 Bear Case</t>
  </si>
  <si>
    <t>Revenue × EBITDA Margin</t>
  </si>
  <si>
    <t>Net Profit / Shares</t>
  </si>
  <si>
    <t>📊 TCS HISTORICAL FINANCIAL DATA (FY2018-FY2025) - All Values in INR Crores</t>
  </si>
  <si>
    <t>Source: TCS Annual Reports | Data verified as of April 2025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</si>
  <si>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</si>
  <si>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</si>
  <si>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</si>
  <si>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</si>
  <si>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</si>
  <si>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</si>
  <si>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</si>
  <si>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</si>
  <si>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Shares Outstanding</t>
  </si>
  <si>
    <t>Employees</t>
  </si>
  <si>
    <t>No.</t>
  </si>
  <si>
    <t>EBITDA Margin %</t>
  </si>
  <si>
    <t>Net Profit Margin %</t>
  </si>
  <si>
    <t>Revenue YoY Growth %</t>
  </si>
  <si>
    <t>N/A</t>
  </si>
  <si>
    <t>📈 CAGR ANALYSIS (FY2018-FY2025)</t>
  </si>
  <si>
    <t>7-Year CAGR</t>
  </si>
  <si>
    <t>3-Year CAGR</t>
  </si>
  <si>
    <t>Revenue CAGR</t>
  </si>
  <si>
    <t>Net Profit CAGR</t>
  </si>
  <si>
    <t>EPS CAGR</t>
  </si>
  <si>
    <t>⚙️ TCS FORECAST ASSUMPTIONS - SCENARIO PARAMETERS</t>
  </si>
  <si>
    <t>🎛️ MASTER CONTROL PANEL</t>
  </si>
  <si>
    <t>Select Scenario:</t>
  </si>
  <si>
    <t>📋 SCENARIO PARAMETERS (All Growth Rates in %)</t>
  </si>
  <si>
    <t>YoY growth applied to FY25 base</t>
  </si>
  <si>
    <t>Continued momentum</t>
  </si>
  <si>
    <t>Long-term projection</t>
  </si>
  <si>
    <t>Effective tax rate</t>
  </si>
  <si>
    <t>Depreciation (% of Rev)</t>
  </si>
  <si>
    <t>Capital intensity</t>
  </si>
  <si>
    <t>Assumed constant</t>
  </si>
  <si>
    <t>🔗 ACTIVE SCENARIO VALUES (Linked to Selection)</t>
  </si>
  <si>
    <t>Depreciation %</t>
  </si>
  <si>
    <t>📈 TCS FINANCIAL FORECAST MODEL (FY2026-FY2028)</t>
  </si>
  <si>
    <t>📋 BASE YEAR REFERENCE (FY2025 Actuals)</t>
  </si>
  <si>
    <t>FY2025 Value</t>
  </si>
  <si>
    <t>Base Revenue (Cr)</t>
  </si>
  <si>
    <t>Base Net Profit (Cr)</t>
  </si>
  <si>
    <t>Base EPS (INR)</t>
  </si>
  <si>
    <t>Base EBITDA (Cr)</t>
  </si>
  <si>
    <t>🎯 ACTIVE SCENARIO</t>
  </si>
  <si>
    <t>Scenario:</t>
  </si>
  <si>
    <t>📊 INCOME STATEMENT FORECAST</t>
  </si>
  <si>
    <t>FY2026 (F)</t>
  </si>
  <si>
    <t>FY2027 (F)</t>
  </si>
  <si>
    <t>FY2028 (F)</t>
  </si>
  <si>
    <t>Formula Logic</t>
  </si>
  <si>
    <t>Prior Year × (1 + Growth%)</t>
  </si>
  <si>
    <t>Dynamic</t>
  </si>
  <si>
    <t>From Assumptions</t>
  </si>
  <si>
    <t>Linked</t>
  </si>
  <si>
    <t>Revenue × Depr %</t>
  </si>
  <si>
    <t>EBIT (Operating Profit)</t>
  </si>
  <si>
    <t>EBITDA - Depreciation</t>
  </si>
  <si>
    <t>Calculated</t>
  </si>
  <si>
    <t>Tax Expense</t>
  </si>
  <si>
    <t>EBIT × Tax Rate</t>
  </si>
  <si>
    <t>EBIT - Tax</t>
  </si>
  <si>
    <t>Net Profit / Revenue</t>
  </si>
  <si>
    <t>💰 FREE CASH FLOW PROJECTION</t>
  </si>
  <si>
    <t>(-) Capex (2.5% Rev)</t>
  </si>
  <si>
    <t>FCF Margin %</t>
  </si>
  <si>
    <t>📊 GROWTH METRICS SUMMARY</t>
  </si>
  <si>
    <t>FY26 vs FY25</t>
  </si>
  <si>
    <t>FY27 vs FY26</t>
  </si>
  <si>
    <t>FY28 vs FY27</t>
  </si>
  <si>
    <t>Revenue Growth</t>
  </si>
  <si>
    <t>Net Profit Growth</t>
  </si>
  <si>
    <t>EPS Growth</t>
  </si>
  <si>
    <t>FCF Growth</t>
  </si>
  <si>
    <t>🔍 TCS MODEL VALIDATION &amp; ERROR CHECKS</t>
  </si>
  <si>
    <t>Automated validation to ensure data integrity and model consistency</t>
  </si>
  <si>
    <t>📊 OVERALL MODEL STATUS</t>
  </si>
  <si>
    <t>Total Checks:</t>
  </si>
  <si>
    <t>Passed:</t>
  </si>
  <si>
    <t>Failed:</t>
  </si>
  <si>
    <t>Result</t>
  </si>
  <si>
    <t>Positive Revenue FY26-FY28</t>
  </si>
  <si>
    <t>All EPS &gt; 0</t>
  </si>
  <si>
    <t>Growth -20% to +30%</t>
  </si>
  <si>
    <t>EBITDA Margin Reasonability</t>
  </si>
  <si>
    <t>Margin 15% to 40%</t>
  </si>
  <si>
    <t>Tax 15% to 35%</t>
  </si>
  <si>
    <t>Positive FCF FY26-FY28</t>
  </si>
  <si>
    <t>All FCF &gt; 0</t>
  </si>
  <si>
    <t>Historical Data Complete</t>
  </si>
  <si>
    <t>FY25 data present</t>
  </si>
  <si>
    <t>Net Margin within Range</t>
  </si>
  <si>
    <t>Margin 10% to 30%</t>
  </si>
  <si>
    <t>No Calculation Errors</t>
  </si>
  <si>
    <t>No #REF, #DIV/0, #VALUE</t>
  </si>
  <si>
    <t>Checked key forecast cells</t>
  </si>
  <si>
    <t>Scenario Selection Valid</t>
  </si>
  <si>
    <t>Base, Bull, or Bear</t>
  </si>
  <si>
    <t>Interactive Financial Model | Historical FY18-FY25 | Forecast FY26-FY28 | All Values in INR Crores</t>
  </si>
  <si>
    <t>🎛️ CONTROL PANEL</t>
  </si>
  <si>
    <t>FY28F</t>
  </si>
  <si>
    <t>EPS (₹)</t>
  </si>
  <si>
    <t>🔄 SCENARIO COMPARISON - FY2028 PROJECTIONS</t>
  </si>
  <si>
    <t>3Y Revenue CAGR</t>
  </si>
  <si>
    <t>✅ MODEL VALIDATION STATUS</t>
  </si>
  <si>
    <t>Status:</t>
  </si>
  <si>
    <t>💡 KEY INSIGHTS &amp; INVESTMENT THESIS</t>
  </si>
  <si>
    <t>• India's largest IT company - $30B+ revenue milestone in FY25</t>
  </si>
  <si>
    <t>• Industry-leading margins - Operating margin ~24.3%</t>
  </si>
  <si>
    <t>• Strong order book - $39.4B TCV in FY25</t>
  </si>
  <si>
    <t>⚠️ KEY RISKS</t>
  </si>
  <si>
    <t>• Currency volatility - 60%+ revenue from exports</t>
  </si>
  <si>
    <t>• Global macro uncertainty - Tech spending slowdown risk</t>
  </si>
  <si>
    <t>• North America weakness - -1.8% YoY growth in FY25</t>
  </si>
  <si>
    <t>ℹ️ MODEL INFORMATION</t>
  </si>
  <si>
    <t>FY2026</t>
  </si>
  <si>
    <t>FY2027</t>
  </si>
  <si>
    <t>FY2028</t>
  </si>
  <si>
    <t>📚 TCS FINANCIAL DATA SOURCES &amp; REFERENCES</t>
  </si>
  <si>
    <t>All historical data sourced from official TCS publications and regulatory filings</t>
  </si>
  <si>
    <t>🔗 PRIMARY DATA SOURCES</t>
  </si>
  <si>
    <t>#</t>
  </si>
  <si>
    <t>Source Name</t>
  </si>
  <si>
    <t>Data Type</t>
  </si>
  <si>
    <t>URL/Reference</t>
  </si>
  <si>
    <t>Data Period</t>
  </si>
  <si>
    <t>Last Accessed</t>
  </si>
  <si>
    <t>TCS Annual Report FY2024-25</t>
  </si>
  <si>
    <t>Revenue, Profit, EPS, Employees</t>
  </si>
  <si>
    <t>TCS Annual Report FY2023-24</t>
  </si>
  <si>
    <t>Revenue, Profit, EPS, EBITDA</t>
  </si>
  <si>
    <t>TCS Annual Report FY2022-23</t>
  </si>
  <si>
    <t>BSE India - TCS Filings</t>
  </si>
  <si>
    <t>Regulatory filings, Results</t>
  </si>
  <si>
    <t>https://www.bseindia.com/stock-share-price/tata-consultancy-services-ltd/tcs/532540/</t>
  </si>
  <si>
    <t>FY2018-2025</t>
  </si>
  <si>
    <t>NSE India - TCS Corporate Filings</t>
  </si>
  <si>
    <t>Annual reports, Financials</t>
  </si>
  <si>
    <t>https://www.nseindia.com/get-quotes/equity?symbol=TCS</t>
  </si>
  <si>
    <t>TCS Investor Presentation FY25</t>
  </si>
  <si>
    <t>Order book, Deal wins, Guidance</t>
  </si>
  <si>
    <t>📊 DATA POINTS USED IN MODEL</t>
  </si>
  <si>
    <t>Source #</t>
  </si>
  <si>
    <t>₹2,55,324 Cr</t>
  </si>
  <si>
    <t>INR Crores</t>
  </si>
  <si>
    <t>1, 4</t>
  </si>
  <si>
    <t>Consolidated revenue from operations</t>
  </si>
  <si>
    <t>₹71,369 Cr</t>
  </si>
  <si>
    <t>Earnings before interest, tax, depreciation</t>
  </si>
  <si>
    <t>₹48,797 Cr</t>
  </si>
  <si>
    <t>Profit after tax (PAT)</t>
  </si>
  <si>
    <t>₹134.20</t>
  </si>
  <si>
    <t>Basic earnings per share</t>
  </si>
  <si>
    <t>Number</t>
  </si>
  <si>
    <t>Total employee count as of March 2025</t>
  </si>
  <si>
    <t>362 Cr</t>
  </si>
  <si>
    <t>Crores</t>
  </si>
  <si>
    <t>Weighted average shares</t>
  </si>
  <si>
    <t>Operating Margin</t>
  </si>
  <si>
    <t>Percentage</t>
  </si>
  <si>
    <t>EBIT/Revenue</t>
  </si>
  <si>
    <t>Order Book TCV</t>
  </si>
  <si>
    <t>$39.4 Billion</t>
  </si>
  <si>
    <t>USD</t>
  </si>
  <si>
    <t>Total contract value won in FY25</t>
  </si>
  <si>
    <t>Attrition Rate</t>
  </si>
  <si>
    <t>LTM attrition rate</t>
  </si>
  <si>
    <t>📈 HISTORICAL DATA VERIFICATION (FY2018-FY2025)</t>
  </si>
  <si>
    <t>All historical data from FY2018 to FY2025 has been verified against TCS Annual Reports available on the investor relations website.</t>
  </si>
  <si>
    <t>⚠️ DISCLAIMER</t>
  </si>
  <si>
    <t>• Forecasts (FY26-FY28) are estimates based on historical trends and analyst assumptions - not official TCS guidance</t>
  </si>
  <si>
    <t>• All values are in Indian Rupees (INR) unless otherwise specified</t>
  </si>
  <si>
    <t>• Users should verify data with primary sources before making investment decisions</t>
  </si>
  <si>
    <t>• Model created: April 2025</t>
  </si>
  <si>
    <t>FY2025 (Base)</t>
  </si>
  <si>
    <t>📊 CHART DATA (For Visualization)</t>
  </si>
  <si>
    <t>Free Cash Flow</t>
  </si>
  <si>
    <t>3Y Rev CAGR</t>
  </si>
  <si>
    <t>✅ ALL CHECKS PASSED</t>
  </si>
  <si>
    <t>• Client concentration - Top 10 clients ~30% revenue</t>
  </si>
  <si>
    <t>Data Source: TCS Annual Reports FY18-FY25 | Model Created: April 2025 | All forecasts are estimates based on historical trends</t>
  </si>
  <si>
    <t>Implied Net Profit Margin</t>
  </si>
  <si>
    <t>⚠️ DATA INCONSISTENCY REPORT</t>
  </si>
  <si>
    <t>Issue</t>
  </si>
  <si>
    <t>Values</t>
  </si>
  <si>
    <t>Action Required</t>
  </si>
  <si>
    <t>FCF FY2025 Mismatch</t>
  </si>
  <si>
    <t>Historical_Data!J15 vs Dashboard!J21</t>
  </si>
  <si>
    <t>FCF FY25 Rounding</t>
  </si>
  <si>
    <t>Dashboard!G10 vs Forecast_Model!C29</t>
  </si>
  <si>
    <t>Minor rounding</t>
  </si>
  <si>
    <t>✅ OK</t>
  </si>
  <si>
    <t>Acceptable difference</t>
  </si>
  <si>
    <t>EBITDA Margin FY25</t>
  </si>
  <si>
    <t>Calculated: 71369/255324</t>
  </si>
  <si>
    <t>27.95% vs 28.0%</t>
  </si>
  <si>
    <t>Rounded display</t>
  </si>
  <si>
    <t>Net Profit Margin FY25</t>
  </si>
  <si>
    <t>Calculated: 48797/255324</t>
  </si>
  <si>
    <t>Matches</t>
  </si>
  <si>
    <t>EPS FY25 Calculation</t>
  </si>
  <si>
    <t>Net Profit/Shares: 48797/362</t>
  </si>
  <si>
    <t>Historical EPS Calculation</t>
  </si>
  <si>
    <t>All years FY18-FY24</t>
  </si>
  <si>
    <t>Formula based</t>
  </si>
  <si>
    <t>Matches within rounding</t>
  </si>
  <si>
    <t>Scenario Linkage</t>
  </si>
  <si>
    <t>Bull case selected</t>
  </si>
  <si>
    <t>12%, 13%, 14% growth</t>
  </si>
  <si>
    <t>Correctly linked</t>
  </si>
  <si>
    <t>EBITDA Margin Trend</t>
  </si>
  <si>
    <t>FY18-FY25 trend</t>
  </si>
  <si>
    <t>25.6% to 28%</t>
  </si>
  <si>
    <t>Reasonable fluctuation</t>
  </si>
  <si>
    <t>Employee Count FY23-FY24</t>
  </si>
  <si>
    <t>614,795 → 601,546</t>
  </si>
  <si>
    <t>Decrease of 13,249</t>
  </si>
  <si>
    <t>Revenue Growth FY25</t>
  </si>
  <si>
    <t>(255324-240893)/240893</t>
  </si>
  <si>
    <t>5.99% ≈ 6%</t>
  </si>
  <si>
    <t>Correct calculation</t>
  </si>
  <si>
    <t>FCF Formula FY25</t>
  </si>
  <si>
    <t>NP + Depr - Capex</t>
  </si>
  <si>
    <t>47,656 Cr</t>
  </si>
  <si>
    <t>Formula correct</t>
  </si>
  <si>
    <t>Forecast Revenue FY26</t>
  </si>
  <si>
    <t>255324 × 1.12</t>
  </si>
  <si>
    <t>285,963 Cr</t>
  </si>
  <si>
    <t>Correct</t>
  </si>
  <si>
    <t>(FY28/FY25)^(1/3)-1</t>
  </si>
  <si>
    <t>📊 INCONSISTENCY SUMMARY</t>
  </si>
  <si>
    <t>Total Checks Performed:</t>
  </si>
  <si>
    <t>Issues Found:</t>
  </si>
  <si>
    <t>Fixed:</t>
  </si>
  <si>
    <t>Note: Employee count decrease FY23→FY24 is verified correct (TCS workforce optimization)</t>
  </si>
  <si>
    <t>✅ VERIFIED</t>
  </si>
  <si>
    <t>✅ FINAL VALIDATION STATUS</t>
  </si>
  <si>
    <t>All data inconsistencies have been checked and resolved:</t>
  </si>
  <si>
    <t>• EPS verified as diluted EPS per TCS official reports (₹134.20)</t>
  </si>
  <si>
    <t>(Enter % or 0 to use scenario)</t>
  </si>
  <si>
    <t>Custom Growth % (from Dashboard):</t>
  </si>
  <si>
    <t>💡 TIP: Enter custom % in C6 to override scenarios</t>
  </si>
  <si>
    <t>⚙️ CUSTOM OVERRIDE: Enter a % in C6 to apply uniform growth rate to all forecast years. Set to 0% to use scenario-based rates (Base/Bull/Bear).</t>
  </si>
  <si>
    <t>₹134.20 (Official Diluted)</t>
  </si>
  <si>
    <t>Note: EPS ₹134.20 is TCS official diluted EPS (weighted avg shares differ from year-end count)</t>
  </si>
  <si>
    <t>Capex</t>
  </si>
  <si>
    <t>Other Income (Net)</t>
  </si>
  <si>
    <t>Official TCS diluted EPS (₹134.20) used. Formula-derived = ₹134.80 based on year-end shares. Difference due to weighted avg shares.</t>
  </si>
  <si>
    <t>EPS - Diluted (INR)</t>
  </si>
  <si>
    <t>INR (Official Diluted)</t>
  </si>
  <si>
    <t>📝 NOTE: Employee count decreased by 13,249 (FY23→FY24) due to industry-wide IT hiring slowdown and TCS workforce optimization. Confirmed in FY24 annual report.</t>
  </si>
  <si>
    <t>📝 NOTE: FY24 employee count decline (614,795 → 601,546) reflects industry-wide tech hiring freeze following post-pandemic normalization.</t>
  </si>
  <si>
    <t>Confirmed: Industry-wide slowdown post-FY23. TCS reduced headcount by 13,249 (2.2%).</t>
  </si>
  <si>
    <t>✅ FIXED</t>
  </si>
  <si>
    <t>✅ ALL 7 INCONSISTENCIES FROM REVIEW HAVE BEEN ADDRESSED:</t>
  </si>
  <si>
    <t>3. ✅ EPS FY25: Clarified as official diluted EPS (₹134.20), contradictory labels fixed</t>
  </si>
  <si>
    <t>6. ✅ EBITDA Margin: Bull case now has expansion (30%→30.5%→31%)</t>
  </si>
  <si>
    <t>7. ✅ Employee Count: Added footnote explaining FY24 decline (industry slowdown)</t>
  </si>
  <si>
    <t>47,776 = 47,776</t>
  </si>
  <si>
    <t>Cr (Formula: NP + Depr - Capex)</t>
  </si>
  <si>
    <t>Cr (High Other Income causes low implied tax rates FY18-20)</t>
  </si>
  <si>
    <t>📝 TAX RATE NOTE: Implied tax rates FY18-20 appear low (3.8%-12.5%) because Other Income (₹4,826-₹7,572 Cr from interest, forex gains, investments) is taxed at lower rates or exempt. Effective tax on operating income was ~25-26%.</t>
  </si>
  <si>
    <t>📈 BULL CASE EBITDA MARGIN: FY26=30.0%, FY27=30.5%, FY28=31.0% (Operating leverage from AI/Cloud scale)</t>
  </si>
  <si>
    <t>Formula-based: NP + Depr - Capex across all sheets</t>
  </si>
  <si>
    <t>• FCF FY18-FY25 now uses formula (NP + Depr - Capex) - no longer hardcoded</t>
  </si>
  <si>
    <t>1. ✅ FCF FY18-24: NOW uses formula (NP + Depr - Capex) instead of 97% estimate</t>
  </si>
  <si>
    <t>2. ✅ FCF FY25: Standardized to ₹47,776 Cr across all sheets (formula-based)</t>
  </si>
  <si>
    <t>4. ✅ Tax Rates: Added detailed footnote explaining low FY18-20 rates (high Other Income)</t>
  </si>
  <si>
    <t>5. ✅ NP Margin: Bull=19.8%, Base=19.3%, Bear=17.5% (conservative, trend-aligned)</t>
  </si>
  <si>
    <t>⚠️ ESTIMATE ONLY: Model derives NP from EBIT−Tax. Actual margins: Bull=21-21.8%, Base=19.3%, Bear=17.5%</t>
  </si>
  <si>
    <t>Implied Net Profit Margin (Est.)</t>
  </si>
  <si>
    <t>Index:</t>
  </si>
  <si>
    <t>• Strong cash generation - FCF of ₹47,776 Cr in FY25</t>
  </si>
  <si>
    <t>📊 Revenue vs Net Profit (₹ Cr)</t>
  </si>
  <si>
    <t>📊 ADDITIONAL ANALYTICS</t>
  </si>
  <si>
    <t>3Y CAGR</t>
  </si>
  <si>
    <t>💰 Revenue (₹ Cr)</t>
  </si>
  <si>
    <t>📊 Net Profit (₹ Cr)</t>
  </si>
  <si>
    <t>📈 EPS (₹)</t>
  </si>
  <si>
    <t>💵 EBITDA (₹ Cr)</t>
  </si>
  <si>
    <t>🔄 Free Cash Flow (₹ Cr)</t>
  </si>
  <si>
    <t>📉 EBITDA Margin (%)</t>
  </si>
  <si>
    <t>📊 Net Profit Margin (%)</t>
  </si>
  <si>
    <t>📈 Revenue Growth (%)</t>
  </si>
  <si>
    <t>Trend</t>
  </si>
  <si>
    <t>📊 FINANCIAL PERFORMANCE CHARTS</t>
  </si>
  <si>
    <t>📈 Revenue Trend (FY18-FY28F)</t>
  </si>
  <si>
    <t>📊 Net Profit Growth (FY18-FY28F)</t>
  </si>
  <si>
    <t>💰 EPS Performance (₹)</t>
  </si>
  <si>
    <t>📈 EBITDA Analysis (₹ Cr)</t>
  </si>
  <si>
    <t>📉 EBITDA Margin % Trend</t>
  </si>
  <si>
    <t>📊 Net Profit Margin % Trend (FY18-FY28F)</t>
  </si>
  <si>
    <t>📊 PROFITABILITY &amp; EFFICIENCY ANALYSIS</t>
  </si>
  <si>
    <t>📈 EPS Growth Trend (₹)</t>
  </si>
  <si>
    <t>📊 FCF vs Net Profit Comparison (₹ Cr)</t>
  </si>
  <si>
    <t>EBITDA Margin FY26</t>
  </si>
  <si>
    <t>Year 1 EBITDA Margin</t>
  </si>
  <si>
    <t>EBITDA Margin FY27</t>
  </si>
  <si>
    <t>Year 2 - Operating leverage</t>
  </si>
  <si>
    <t>EBITDA Margin FY28</t>
  </si>
  <si>
    <t>Year 3 - Margin expansion/stabilization</t>
  </si>
  <si>
    <t>📈 EBITDA MARGIN PROGRESSION: Bull (30%→30.5%→31%), Base (28%→28.2%→28.5%), Bear (25.5%→25.7%→26%)</t>
  </si>
  <si>
    <t>📊 Select Scenario:</t>
  </si>
  <si>
    <t>⚡ Custom Override:</t>
  </si>
  <si>
    <t>🎯 Active Mode:</t>
  </si>
  <si>
    <t xml:space="preserve">                                                                                                                          🏢 TATA CONSULTANCY SERVICES - FINANCIAL FORECASTING DASHBOARD</t>
  </si>
  <si>
    <t>https://www.tcs.com/content/dam/tcs/investor-relations/financial-statements/2024-25/ar/annual-report-2024-2025.pdf</t>
  </si>
  <si>
    <t>https://www.tcs.com/investor-relations/financial-statements</t>
  </si>
  <si>
    <t>Apr-26</t>
  </si>
  <si>
    <t>https://www.annualreports.com/Company/tata-consultancy-services-ltd</t>
  </si>
  <si>
    <t>AnnualReports.com - TCS Archive</t>
  </si>
  <si>
    <t>Historical Annual Reports (PDFs)</t>
  </si>
  <si>
    <t>FY2004-2025</t>
  </si>
  <si>
    <t>https://www.tcs.com/content/dam/tcs/investor-relations/financial-statements/2023-24/ar/annual-report-2023-2024.pdf</t>
  </si>
  <si>
    <t>https://www.tcs.com/content/dam/tcs/investor-relations/financial-statements/2022-23/ar/annual-report-2022-2023.pdf</t>
  </si>
  <si>
    <t>https://nsearchives.nseindia.com/corporate/TCS_12042024154155_SELetterFinancialResults.pdf</t>
  </si>
  <si>
    <t>TCS Q4 FY24 Results (NSE Filing)</t>
  </si>
  <si>
    <t>Quarterly financial results PDF</t>
  </si>
  <si>
    <t>Q4 FY24</t>
  </si>
  <si>
    <t>✅ All URLs verified Apr 2026 - Direct PDF download links for annual reports</t>
  </si>
  <si>
    <t>💡 TIP: Annual report PDFs download directly when clicked. NSE/BSE links open filings pages.</t>
  </si>
  <si>
    <t>📥 DIRECT DOWNLOADS: Rows 6-9 are direct PDF links that will auto-download when clicked.</t>
  </si>
  <si>
    <t>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</si>
</sst>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₹#,##0.00"/>
    <numFmt numFmtId="166" formatCode="\₹#,##0"/>
    <numFmt numFmtId="167" formatCode="0.0&quot; pp&quot;"/>
  </numFmts>
  <fonts count="5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E65100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  <font>
      <i/>
      <sz val="11"/>
      <color rgb="FFFFFFFF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808080"/>
      <name val="Aptos Narrow"/>
      <family val="2"/>
      <scheme val="minor"/>
    </font>
    <font>
      <b/>
      <i/>
      <sz val="11"/>
      <color rgb="FF1F4E79"/>
      <name val="Aptos Narrow"/>
      <family val="2"/>
      <scheme val="minor"/>
    </font>
    <font>
      <b/>
      <sz val="18"/>
      <color rgb="FFFFFFFF"/>
      <name val="Segoe UI"/>
      <family val="2"/>
    </font>
    <font>
      <sz val="11"/>
      <color theme="1"/>
      <name val="Segoe UI"/>
      <family val="2"/>
    </font>
    <font>
      <b/>
      <sz val="11"/>
      <color rgb="FFFFFFFF"/>
      <name val="Segoe UI"/>
      <family val="2"/>
    </font>
    <font>
      <b/>
      <sz val="11"/>
      <color theme="1"/>
      <name val="Segoe UI"/>
      <family val="2"/>
    </font>
    <font>
      <b/>
      <sz val="10"/>
      <color rgb="FFFFFFFF"/>
      <name val="Segoe UI"/>
      <family val="2"/>
    </font>
    <font>
      <b/>
      <sz val="11"/>
      <color rgb="FF2C3E50"/>
      <name val="Segoe UI"/>
      <family val="2"/>
    </font>
    <font>
      <sz val="9"/>
      <color theme="1"/>
      <name val="Segoe UI"/>
      <family val="2"/>
    </font>
    <font>
      <b/>
      <sz val="11"/>
      <color rgb="FFE65100"/>
      <name val="Segoe UI"/>
      <family val="2"/>
    </font>
    <font>
      <b/>
      <sz val="9"/>
      <color theme="1"/>
      <name val="Segoe UI"/>
      <family val="2"/>
    </font>
    <font>
      <i/>
      <sz val="9"/>
      <color theme="1"/>
      <name val="Segoe UI"/>
      <family val="2"/>
    </font>
    <font>
      <b/>
      <sz val="12"/>
      <color rgb="FFFFFFFF"/>
      <name val="Segoe UI"/>
      <family val="2"/>
    </font>
    <font>
      <i/>
      <sz val="11"/>
      <color rgb="FFD4A574"/>
      <name val="Segoe UI"/>
      <family val="2"/>
    </font>
    <font>
      <b/>
      <sz val="12"/>
      <color rgb="FFD4A574"/>
      <name val="Segoe UI"/>
      <family val="2"/>
    </font>
    <font>
      <b/>
      <sz val="10"/>
      <color rgb="FF2C3E50"/>
      <name val="Segoe UI"/>
      <family val="2"/>
    </font>
    <font>
      <b/>
      <sz val="10"/>
      <color rgb="FF0D1B2A"/>
      <name val="Segoe UI"/>
      <family val="2"/>
    </font>
    <font>
      <sz val="10"/>
      <color rgb="FF2C3E50"/>
      <name val="Segoe UI"/>
      <family val="2"/>
    </font>
    <font>
      <b/>
      <sz val="10"/>
      <color rgb="FF2E8B8B"/>
      <name val="Segoe UI"/>
      <family val="2"/>
    </font>
    <font>
      <sz val="14"/>
      <color theme="1"/>
      <name val="Segoe UI"/>
      <family val="2"/>
    </font>
    <font>
      <i/>
      <sz val="10"/>
      <color rgb="FF2E8B8B"/>
      <name val="Segoe UI"/>
      <family val="2"/>
    </font>
    <font>
      <sz val="10"/>
      <color rgb="FFE65100"/>
      <name val="Segoe UI"/>
      <family val="2"/>
    </font>
    <font>
      <b/>
      <sz val="10"/>
      <color rgb="FF2E7D32"/>
      <name val="Segoe UI"/>
      <family val="2"/>
    </font>
    <font>
      <b/>
      <sz val="10"/>
      <color rgb="FFE65100"/>
      <name val="Segoe UI"/>
      <family val="2"/>
    </font>
    <font>
      <b/>
      <sz val="10"/>
      <color rgb="FF28A745"/>
      <name val="Segoe UI"/>
      <family val="2"/>
    </font>
    <font>
      <b/>
      <sz val="11"/>
      <color rgb="FF2E7D32"/>
      <name val="Segoe UI"/>
      <family val="2"/>
    </font>
    <font>
      <sz val="10"/>
      <color rgb="FF1B5E20"/>
      <name val="Segoe UI"/>
      <family val="2"/>
    </font>
    <font>
      <b/>
      <sz val="10"/>
      <color rgb="FF1B5E20"/>
      <name val="Segoe UI"/>
      <family val="2"/>
    </font>
    <font>
      <sz val="10"/>
      <color rgb="FF0D47A1"/>
      <name val="Segoe UI"/>
      <family val="2"/>
    </font>
    <font>
      <b/>
      <sz val="10"/>
      <color rgb="FF0D47A1"/>
      <name val="Segoe UI"/>
      <family val="2"/>
    </font>
    <font>
      <sz val="10"/>
      <color rgb="FFB71C1C"/>
      <name val="Segoe UI"/>
      <family val="2"/>
    </font>
    <font>
      <i/>
      <sz val="9"/>
      <color rgb="FF37474F"/>
      <name val="Segoe UI"/>
      <family val="2"/>
    </font>
    <font>
      <i/>
      <sz val="9"/>
      <color rgb="FF546E7A"/>
      <name val="Segoe UI"/>
      <family val="2"/>
    </font>
    <font>
      <i/>
      <sz val="9"/>
      <color rgb="FFF57C00"/>
      <name val="Segoe UI"/>
      <family val="2"/>
    </font>
    <font>
      <b/>
      <sz val="18"/>
      <color rgb="FFD4A574"/>
      <name val="Segoe UI"/>
      <family val="2"/>
    </font>
    <font>
      <b/>
      <sz val="10"/>
      <color rgb="FF1B3A5F"/>
      <name val="Segoe UI"/>
      <family val="2"/>
    </font>
    <font>
      <u/>
      <sz val="11"/>
      <color theme="10"/>
      <name val="Aptos Narrow"/>
      <family val="2"/>
      <scheme val="minor"/>
    </font>
    <font>
      <b/>
      <sz val="11"/>
      <color rgb="FF1B5E20"/>
      <name val="Aptos Narrow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1E3A5F"/>
        <bgColor indexed="64"/>
      </patternFill>
    </fill>
    <fill>
      <patternFill patternType="solid">
        <fgColor rgb="FFFF6B35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C8E6C9"/>
        <bgColor indexed="64"/>
      </patternFill>
    </fill>
    <fill>
      <patternFill patternType="solid">
        <fgColor rgb="FFECEFF1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FEBEE"/>
        <bgColor indexed="64"/>
      </patternFill>
    </fill>
    <fill>
      <patternFill patternType="solid">
        <fgColor rgb="FF2E5A8F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4EDDA"/>
        <bgColor indexed="64"/>
      </patternFill>
    </fill>
    <fill>
      <patternFill patternType="solid">
        <fgColor rgb="FF28A745"/>
        <bgColor indexed="64"/>
      </patternFill>
    </fill>
    <fill>
      <patternFill patternType="solid">
        <fgColor rgb="FF218838"/>
        <bgColor indexed="64"/>
      </patternFill>
    </fill>
    <fill>
      <patternFill patternType="solid">
        <fgColor rgb="FFF0FFF0"/>
        <bgColor indexed="64"/>
      </patternFill>
    </fill>
    <fill>
      <patternFill patternType="solid">
        <fgColor rgb="FF6C348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5276"/>
        <bgColor indexed="64"/>
      </patternFill>
    </fill>
    <fill>
      <patternFill patternType="solid">
        <fgColor rgb="FFD5F5E3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rgb="FFFADBD8"/>
        <bgColor indexed="64"/>
      </patternFill>
    </fill>
    <fill>
      <patternFill patternType="solid">
        <fgColor rgb="FF17A2B8"/>
        <bgColor indexed="64"/>
      </patternFill>
    </fill>
    <fill>
      <patternFill patternType="solid">
        <fgColor rgb="FF138496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1E8449"/>
        <bgColor indexed="64"/>
      </patternFill>
    </fill>
    <fill>
      <patternFill patternType="solid">
        <fgColor rgb="FF27AE60"/>
        <bgColor indexed="64"/>
      </patternFill>
    </fill>
    <fill>
      <patternFill patternType="solid">
        <fgColor rgb="FF5DADE2"/>
        <bgColor indexed="64"/>
      </patternFill>
    </fill>
    <fill>
      <patternFill patternType="solid">
        <fgColor rgb="FF2E86C1"/>
        <bgColor indexed="64"/>
      </patternFill>
    </fill>
    <fill>
      <patternFill patternType="solid">
        <fgColor rgb="FFEBF5FB"/>
        <bgColor indexed="64"/>
      </patternFill>
    </fill>
    <fill>
      <patternFill patternType="solid">
        <fgColor rgb="FFE74C3C"/>
        <bgColor indexed="64"/>
      </patternFill>
    </fill>
    <fill>
      <patternFill patternType="solid">
        <fgColor rgb="FF2C3E50"/>
        <bgColor indexed="64"/>
      </patternFill>
    </fill>
    <fill>
      <patternFill patternType="solid">
        <fgColor rgb="FF34495E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CF3CF"/>
        <bgColor indexed="64"/>
      </patternFill>
    </fill>
    <fill>
      <patternFill patternType="solid">
        <fgColor rgb="FF8E44AD"/>
        <bgColor indexed="64"/>
      </patternFill>
    </fill>
    <fill>
      <patternFill patternType="solid">
        <fgColor rgb="FFF39C12"/>
        <bgColor indexed="64"/>
      </patternFill>
    </fill>
    <fill>
      <patternFill patternType="solid">
        <fgColor rgb="FFD68910"/>
        <bgColor indexed="64"/>
      </patternFill>
    </fill>
    <fill>
      <patternFill patternType="solid">
        <fgColor rgb="FFE8F8F5"/>
        <bgColor indexed="64"/>
      </patternFill>
    </fill>
    <fill>
      <patternFill patternType="solid">
        <fgColor rgb="FF2ECC71"/>
        <bgColor indexed="64"/>
      </patternFill>
    </fill>
    <fill>
      <patternFill patternType="solid">
        <fgColor rgb="FF9B59B6"/>
        <bgColor indexed="64"/>
      </patternFill>
    </fill>
    <fill>
      <patternFill patternType="solid">
        <fgColor rgb="FF7D3C98"/>
        <bgColor indexed="64"/>
      </patternFill>
    </fill>
    <fill>
      <patternFill patternType="solid">
        <fgColor rgb="FFE8DAEF"/>
        <bgColor indexed="64"/>
      </patternFill>
    </fill>
    <fill>
      <patternFill patternType="solid">
        <fgColor rgb="FFF5EEF8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2980B9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4CAF5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0D1B2A"/>
        <bgColor indexed="64"/>
      </patternFill>
    </fill>
    <fill>
      <patternFill patternType="solid">
        <fgColor rgb="FF1B3A5F"/>
        <bgColor indexed="64"/>
      </patternFill>
    </fill>
    <fill>
      <patternFill patternType="solid">
        <fgColor rgb="FF2E8B8B"/>
        <bgColor indexed="64"/>
      </patternFill>
    </fill>
    <fill>
      <patternFill patternType="solid">
        <fgColor rgb="FFF0F4F8"/>
        <bgColor indexed="64"/>
      </patternFill>
    </fill>
    <fill>
      <patternFill patternType="solid">
        <fgColor rgb="FFD4A574"/>
        <bgColor indexed="64"/>
      </patternFill>
    </fill>
    <fill>
      <patternFill patternType="solid">
        <fgColor rgb="FF0A1628"/>
        <bgColor indexed="64"/>
      </patternFill>
    </fill>
    <fill>
      <patternFill patternType="solid">
        <fgColor rgb="FF162D50"/>
        <bgColor indexed="64"/>
      </patternFill>
    </fill>
    <fill>
      <patternFill patternType="solid">
        <fgColor rgb="FF1B5E20"/>
        <bgColor indexed="64"/>
      </patternFill>
    </fill>
    <fill>
      <patternFill patternType="solid">
        <fgColor rgb="FFB71C1C"/>
        <bgColor indexed="64"/>
      </patternFill>
    </fill>
    <fill>
      <patternFill patternType="solid">
        <fgColor rgb="FF37474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theme="7" tint="0.39997558519241921"/>
        <bgColor indexed="64"/>
      </patternFill>
    </fill>
  </fills>
  <borders count="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1F4E79"/>
      </left>
      <right/>
      <top/>
      <bottom/>
      <diagonal/>
    </border>
    <border>
      <left style="medium">
        <color rgb="FF1F4E79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/>
      <right/>
      <top style="thin">
        <color rgb="FF27AE60"/>
      </top>
      <bottom/>
      <diagonal/>
    </border>
    <border>
      <left/>
      <right/>
      <top style="thin">
        <color rgb="FFE74C3C"/>
      </top>
      <bottom/>
      <diagonal/>
    </border>
    <border>
      <left/>
      <right/>
      <top/>
      <bottom style="thin">
        <color rgb="FFE9ECEF"/>
      </bottom>
      <diagonal/>
    </border>
    <border>
      <left style="thin">
        <color rgb="FFE9ECEF"/>
      </left>
      <right/>
      <top/>
      <bottom style="thin">
        <color rgb="FFE9ECEF"/>
      </bottom>
      <diagonal/>
    </border>
    <border>
      <left/>
      <right style="thin">
        <color rgb="FFE9ECEF"/>
      </right>
      <top/>
      <bottom style="thin">
        <color rgb="FFE9ECEF"/>
      </bottom>
      <diagonal/>
    </border>
    <border>
      <left/>
      <right/>
      <top style="medium">
        <color rgb="FFE9ECEF"/>
      </top>
      <bottom/>
      <diagonal/>
    </border>
    <border>
      <left/>
      <right/>
      <top style="thin">
        <color rgb="FFE9ECEF"/>
      </top>
      <bottom/>
      <diagonal/>
    </border>
    <border>
      <left style="thin">
        <color rgb="FFE9ECEF"/>
      </left>
      <right/>
      <top/>
      <bottom/>
      <diagonal/>
    </border>
    <border>
      <left/>
      <right style="thin">
        <color rgb="FFE9ECEF"/>
      </right>
      <top style="thin">
        <color rgb="FFE9ECEF"/>
      </top>
      <bottom/>
      <diagonal/>
    </border>
    <border>
      <left/>
      <right style="thin">
        <color rgb="FFE9ECEF"/>
      </right>
      <top/>
      <bottom/>
      <diagonal/>
    </border>
    <border>
      <left/>
      <right/>
      <top style="thin">
        <color rgb="FF28A745"/>
      </top>
      <bottom/>
      <diagonal/>
    </border>
    <border>
      <left/>
      <right style="thin">
        <color rgb="FF28A745"/>
      </right>
      <top style="thin">
        <color rgb="FF28A745"/>
      </top>
      <bottom/>
      <diagonal/>
    </border>
    <border>
      <left/>
      <right style="thin">
        <color rgb="FF28A745"/>
      </right>
      <top style="thin">
        <color rgb="FF27AE60"/>
      </top>
      <bottom/>
      <diagonal/>
    </border>
    <border>
      <left/>
      <right style="thin">
        <color rgb="FF28A745"/>
      </right>
      <top/>
      <bottom/>
      <diagonal/>
    </border>
    <border>
      <left/>
      <right/>
      <top style="thin">
        <color rgb="FFDC3545"/>
      </top>
      <bottom/>
      <diagonal/>
    </border>
    <border>
      <left style="thin">
        <color rgb="FFDC3545"/>
      </left>
      <right/>
      <top style="thin">
        <color rgb="FFDC3545"/>
      </top>
      <bottom/>
      <diagonal/>
    </border>
    <border>
      <left style="thick">
        <color rgb="FFD4A574"/>
      </left>
      <right/>
      <top/>
      <bottom/>
      <diagonal/>
    </border>
    <border>
      <left style="thick">
        <color rgb="FFD4A574"/>
      </left>
      <right/>
      <top style="thin">
        <color rgb="FFE9ECEF"/>
      </top>
      <bottom/>
      <diagonal/>
    </border>
    <border>
      <left style="thin">
        <color rgb="FFBDD7EE"/>
      </left>
      <right style="thin">
        <color rgb="FFBDD7EE"/>
      </right>
      <top style="medium">
        <color rgb="FFE9ECEF"/>
      </top>
      <bottom style="thin">
        <color rgb="FFD4A574"/>
      </bottom>
      <diagonal/>
    </border>
    <border>
      <left style="thin">
        <color rgb="FFBDD7EE"/>
      </left>
      <right/>
      <top style="medium">
        <color rgb="FFE9ECEF"/>
      </top>
      <bottom style="thin">
        <color rgb="FFD4A574"/>
      </bottom>
      <diagonal/>
    </border>
    <border>
      <left style="medium">
        <color rgb="FF1F4E79"/>
      </left>
      <right style="thin">
        <color rgb="FFBDD7EE"/>
      </right>
      <top style="medium">
        <color rgb="FFE9ECEF"/>
      </top>
      <bottom style="thin">
        <color rgb="FFD4A574"/>
      </bottom>
      <diagonal/>
    </border>
    <border>
      <left style="thin">
        <color rgb="FF3498DB"/>
      </left>
      <right style="thin">
        <color rgb="FF3498DB"/>
      </right>
      <top style="thin">
        <color rgb="FF3498DB"/>
      </top>
      <bottom style="thin">
        <color rgb="FFD4A574"/>
      </bottom>
      <diagonal/>
    </border>
    <border>
      <left/>
      <right/>
      <top style="thin">
        <color rgb="FFD4A574"/>
      </top>
      <bottom style="thin">
        <color rgb="FFBDC3C7"/>
      </bottom>
      <diagonal/>
    </border>
    <border>
      <left style="thin">
        <color auto="1"/>
      </left>
      <right style="thin">
        <color auto="1"/>
      </right>
      <top style="thin">
        <color rgb="FFE9ECEF"/>
      </top>
      <bottom style="thin">
        <color rgb="FFD4A574"/>
      </bottom>
      <diagonal/>
    </border>
    <border>
      <left style="thin">
        <color rgb="FF4CAF50"/>
      </left>
      <right/>
      <top style="thin">
        <color rgb="FFE9ECEF"/>
      </top>
      <bottom/>
      <diagonal/>
    </border>
    <border>
      <left style="thin">
        <color rgb="FF4CAF50"/>
      </left>
      <right/>
      <top/>
      <bottom/>
      <diagonal/>
    </border>
    <border>
      <left style="thin">
        <color rgb="FFF44336"/>
      </left>
      <right/>
      <top style="thin">
        <color rgb="FFE74C3C"/>
      </top>
      <bottom/>
      <diagonal/>
    </border>
    <border>
      <left style="thin">
        <color rgb="FFF44336"/>
      </left>
      <right/>
      <top/>
      <bottom/>
      <diagonal/>
    </border>
    <border>
      <left/>
      <right/>
      <top style="medium">
        <color rgb="FF0D1B2A"/>
      </top>
      <bottom/>
      <diagonal/>
    </border>
    <border>
      <left/>
      <right/>
      <top/>
      <bottom style="medium">
        <color rgb="FF0D1B2A"/>
      </bottom>
      <diagonal/>
    </border>
    <border>
      <left style="thick">
        <color rgb="FF0D1B2A"/>
      </left>
      <right/>
      <top style="medium">
        <color rgb="FF0D1B2A"/>
      </top>
      <bottom style="thin">
        <color rgb="FFE0E0E0"/>
      </bottom>
      <diagonal/>
    </border>
    <border>
      <left style="thick">
        <color rgb="FF0D1B2A"/>
      </left>
      <right/>
      <top/>
      <bottom/>
      <diagonal/>
    </border>
    <border>
      <left style="thick">
        <color rgb="FF0D1B2A"/>
      </left>
      <right/>
      <top/>
      <bottom style="medium">
        <color rgb="FF0D1B2A"/>
      </bottom>
      <diagonal/>
    </border>
    <border>
      <left/>
      <right style="medium">
        <color rgb="FF0D1B2A"/>
      </right>
      <top style="medium">
        <color rgb="FF0D1B2A"/>
      </top>
      <bottom/>
      <diagonal/>
    </border>
    <border>
      <left/>
      <right style="medium">
        <color rgb="FF0D1B2A"/>
      </right>
      <top style="thin">
        <color rgb="FFE0E0E0"/>
      </top>
      <bottom/>
      <diagonal/>
    </border>
    <border>
      <left/>
      <right style="medium">
        <color rgb="FF0D1B2A"/>
      </right>
      <top/>
      <bottom/>
      <diagonal/>
    </border>
    <border>
      <left/>
      <right style="medium">
        <color rgb="FF0D1B2A"/>
      </right>
      <top/>
      <bottom style="medium">
        <color rgb="FF0D1B2A"/>
      </bottom>
      <diagonal/>
    </border>
    <border>
      <left/>
      <right/>
      <top style="thin">
        <color rgb="FF0D1B2A"/>
      </top>
      <bottom/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medium">
        <color rgb="FF0D1B2A"/>
      </bottom>
      <diagonal/>
    </border>
    <border>
      <left style="thin">
        <color rgb="FFBDD7EE"/>
      </left>
      <right/>
      <top style="thin">
        <color rgb="FFBDD7EE"/>
      </top>
      <bottom style="medium">
        <color rgb="FF0D1B2A"/>
      </bottom>
      <diagonal/>
    </border>
    <border>
      <left style="medium">
        <color rgb="FF1F4E79"/>
      </left>
      <right style="thin">
        <color rgb="FFBDD7EE"/>
      </right>
      <top style="thin">
        <color rgb="FFBDD7EE"/>
      </top>
      <bottom style="medium">
        <color rgb="FF0D1B2A"/>
      </bottom>
      <diagonal/>
    </border>
    <border>
      <left style="thick">
        <color rgb="FF0D1B2A"/>
      </left>
      <right/>
      <top style="thin">
        <color rgb="FF0D1B2A"/>
      </top>
      <bottom style="medium">
        <color rgb="FFE9ECEF"/>
      </bottom>
      <diagonal/>
    </border>
    <border>
      <left style="thick">
        <color rgb="FF0D1B2A"/>
      </left>
      <right style="thin">
        <color rgb="FFBDD7EE"/>
      </right>
      <top style="medium">
        <color rgb="FFE9ECEF"/>
      </top>
      <bottom style="thin">
        <color rgb="FFD4A574"/>
      </bottom>
      <diagonal/>
    </border>
    <border>
      <left style="thick">
        <color rgb="FF0D1B2A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ck">
        <color rgb="FF0D1B2A"/>
      </left>
      <right style="thin">
        <color rgb="FFBDD7EE"/>
      </right>
      <top style="thin">
        <color rgb="FFBDD7EE"/>
      </top>
      <bottom style="medium">
        <color rgb="FF0D1B2A"/>
      </bottom>
      <diagonal/>
    </border>
    <border>
      <left/>
      <right style="medium">
        <color rgb="FF0D1B2A"/>
      </right>
      <top style="thin">
        <color rgb="FF0D1B2A"/>
      </top>
      <bottom/>
      <diagonal/>
    </border>
    <border>
      <left style="thin">
        <color rgb="FFBDD7EE"/>
      </left>
      <right style="medium">
        <color rgb="FF0D1B2A"/>
      </right>
      <top style="medium">
        <color rgb="FFE9ECEF"/>
      </top>
      <bottom style="thin">
        <color rgb="FFD4A574"/>
      </bottom>
      <diagonal/>
    </border>
    <border>
      <left style="thin">
        <color rgb="FFBDD7EE"/>
      </left>
      <right style="medium">
        <color rgb="FF0D1B2A"/>
      </right>
      <top style="thin">
        <color rgb="FFBDD7EE"/>
      </top>
      <bottom style="thin">
        <color rgb="FFBDD7EE"/>
      </bottom>
      <diagonal/>
    </border>
    <border>
      <left style="thin">
        <color rgb="FFBDD7EE"/>
      </left>
      <right style="medium">
        <color rgb="FF0D1B2A"/>
      </right>
      <top style="thin">
        <color rgb="FFBDD7EE"/>
      </top>
      <bottom style="medium">
        <color rgb="FF0D1B2A"/>
      </bottom>
      <diagonal/>
    </border>
    <border>
      <left/>
      <right style="medium">
        <color rgb="FF1F4E79"/>
      </right>
      <top/>
      <bottom/>
      <diagonal/>
    </border>
    <border>
      <left/>
      <right/>
      <top style="thin">
        <color rgb="FF0D1B2A"/>
      </top>
      <bottom style="thin">
        <color rgb="FFE9ECEF"/>
      </bottom>
      <diagonal/>
    </border>
    <border>
      <left/>
      <right/>
      <top/>
      <bottom style="thin">
        <color rgb="FF0D1B2A"/>
      </bottom>
      <diagonal/>
    </border>
    <border>
      <left style="thick">
        <color rgb="FF0D1B2A"/>
      </left>
      <right/>
      <top style="thin">
        <color rgb="FF0D1B2A"/>
      </top>
      <bottom style="thin">
        <color rgb="FFE9ECEF"/>
      </bottom>
      <diagonal/>
    </border>
    <border>
      <left style="thick">
        <color rgb="FF0D1B2A"/>
      </left>
      <right style="thin">
        <color auto="1"/>
      </right>
      <top style="thin">
        <color rgb="FFE9ECEF"/>
      </top>
      <bottom style="thin">
        <color rgb="FFD4A574"/>
      </bottom>
      <diagonal/>
    </border>
    <border>
      <left style="thick">
        <color rgb="FF0D1B2A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D1B2A"/>
      </left>
      <right/>
      <top/>
      <bottom style="thin">
        <color rgb="FF0D1B2A"/>
      </bottom>
      <diagonal/>
    </border>
    <border>
      <left/>
      <right style="thin">
        <color rgb="FF0D1B2A"/>
      </right>
      <top style="thin">
        <color rgb="FF0D1B2A"/>
      </top>
      <bottom style="thin">
        <color rgb="FFE9ECEF"/>
      </bottom>
      <diagonal/>
    </border>
    <border>
      <left style="thin">
        <color auto="1"/>
      </left>
      <right style="thin">
        <color rgb="FF0D1B2A"/>
      </right>
      <top style="thin">
        <color rgb="FFE9ECEF"/>
      </top>
      <bottom style="thin">
        <color rgb="FFD4A574"/>
      </bottom>
      <diagonal/>
    </border>
    <border>
      <left style="thin">
        <color auto="1"/>
      </left>
      <right style="thin">
        <color rgb="FF0D1B2A"/>
      </right>
      <top style="thin">
        <color auto="1"/>
      </top>
      <bottom style="thin">
        <color auto="1"/>
      </bottom>
      <diagonal/>
    </border>
    <border>
      <left/>
      <right style="thin">
        <color rgb="FF0D1B2A"/>
      </right>
      <top/>
      <bottom style="thin">
        <color rgb="FF0D1B2A"/>
      </bottom>
      <diagonal/>
    </border>
    <border>
      <left style="thick">
        <color rgb="FFFF9800"/>
      </left>
      <right/>
      <top/>
      <bottom style="medium">
        <color rgb="FF0D1B2A"/>
      </bottom>
      <diagonal/>
    </border>
    <border>
      <left/>
      <right/>
      <top/>
      <bottom style="thin">
        <color rgb="FFD4A574"/>
      </bottom>
      <diagonal/>
    </border>
    <border>
      <left/>
      <right/>
      <top style="thin">
        <color rgb="FF0D1B2A"/>
      </top>
      <bottom style="medium">
        <color rgb="FFE9ECEF"/>
      </bottom>
      <diagonal/>
    </border>
    <border>
      <left/>
      <right style="medium">
        <color rgb="FF0D1B2A"/>
      </right>
      <top style="thin">
        <color rgb="FF0D1B2A"/>
      </top>
      <bottom style="medium">
        <color rgb="FFE9ECEF"/>
      </bottom>
      <diagonal/>
    </border>
    <border>
      <left/>
      <right style="medium">
        <color rgb="FF0D1B2A"/>
      </right>
      <top style="medium">
        <color rgb="FFE9ECEF"/>
      </top>
      <bottom/>
      <diagonal/>
    </border>
    <border>
      <left style="thin">
        <color rgb="FF4CAF50"/>
      </left>
      <right/>
      <top/>
      <bottom style="thin">
        <color rgb="FF0D1B2A"/>
      </bottom>
      <diagonal/>
    </border>
    <border>
      <left/>
      <right style="thin">
        <color rgb="FF0D1B2A"/>
      </right>
      <top style="thin">
        <color rgb="FF0D1B2A"/>
      </top>
      <bottom/>
      <diagonal/>
    </border>
    <border>
      <left/>
      <right style="thin">
        <color rgb="FF0D1B2A"/>
      </right>
      <top style="thin">
        <color rgb="FFE9ECEF"/>
      </top>
      <bottom/>
      <diagonal/>
    </border>
    <border>
      <left/>
      <right style="thin">
        <color rgb="FF0D1B2A"/>
      </right>
      <top/>
      <bottom/>
      <diagonal/>
    </border>
    <border>
      <left/>
      <right style="thin">
        <color rgb="FF28A745"/>
      </right>
      <top/>
      <bottom style="thin">
        <color rgb="FF0D1B2A"/>
      </bottom>
      <diagonal/>
    </border>
    <border>
      <left style="thin">
        <color rgb="FFF44336"/>
      </left>
      <right/>
      <top/>
      <bottom style="thin">
        <color rgb="FF0D1B2A"/>
      </bottom>
      <diagonal/>
    </border>
    <border>
      <left style="thick">
        <color rgb="FF0D1B2A"/>
      </left>
      <right/>
      <top style="thin">
        <color rgb="FF0D1B2A"/>
      </top>
      <bottom style="thin">
        <color rgb="FF28A745"/>
      </bottom>
      <diagonal/>
    </border>
    <border>
      <left style="thick">
        <color rgb="FF0D1B2A"/>
      </left>
      <right/>
      <top style="thin">
        <color rgb="FF27AE60"/>
      </top>
      <bottom/>
      <diagonal/>
    </border>
    <border>
      <left/>
      <right style="thin">
        <color rgb="FF0D1B2A"/>
      </right>
      <top style="thin">
        <color rgb="FFDC3545"/>
      </top>
      <bottom/>
      <diagonal/>
    </border>
    <border>
      <left/>
      <right style="thin">
        <color rgb="FF0D1B2A"/>
      </right>
      <top style="thin">
        <color rgb="FFE74C3C"/>
      </top>
      <bottom/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271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/>
    <xf numFmtId="0" fontId="1" fillId="9" borderId="0" xfId="0" applyFont="1" applyFill="1"/>
    <xf numFmtId="0" fontId="4" fillId="20" borderId="0" xfId="0" applyFont="1" applyFill="1"/>
    <xf numFmtId="0" fontId="0" fillId="21" borderId="0" xfId="0" applyFill="1"/>
    <xf numFmtId="164" fontId="0" fillId="21" borderId="0" xfId="0" applyNumberFormat="1" applyFill="1"/>
    <xf numFmtId="0" fontId="0" fillId="18" borderId="0" xfId="0" applyFill="1"/>
    <xf numFmtId="0" fontId="0" fillId="18" borderId="3" xfId="0" applyFill="1" applyBorder="1"/>
    <xf numFmtId="0" fontId="4" fillId="15" borderId="1" xfId="0" applyFont="1" applyFill="1" applyBorder="1"/>
    <xf numFmtId="0" fontId="0" fillId="16" borderId="1" xfId="0" applyFill="1" applyBorder="1"/>
    <xf numFmtId="3" fontId="0" fillId="16" borderId="1" xfId="0" applyNumberFormat="1" applyFill="1" applyBorder="1"/>
    <xf numFmtId="0" fontId="0" fillId="17" borderId="1" xfId="0" applyFill="1" applyBorder="1"/>
    <xf numFmtId="3" fontId="0" fillId="17" borderId="1" xfId="0" applyNumberFormat="1" applyFill="1" applyBorder="1"/>
    <xf numFmtId="0" fontId="0" fillId="18" borderId="1" xfId="0" applyFill="1" applyBorder="1"/>
    <xf numFmtId="164" fontId="0" fillId="18" borderId="1" xfId="0" applyNumberFormat="1" applyFill="1" applyBorder="1"/>
    <xf numFmtId="0" fontId="1" fillId="23" borderId="2" xfId="0" applyFont="1" applyFill="1" applyBorder="1"/>
    <xf numFmtId="0" fontId="0" fillId="30" borderId="0" xfId="0" applyFill="1"/>
    <xf numFmtId="164" fontId="0" fillId="30" borderId="0" xfId="0" applyNumberFormat="1" applyFill="1"/>
    <xf numFmtId="3" fontId="0" fillId="30" borderId="0" xfId="0" applyNumberFormat="1" applyFill="1"/>
    <xf numFmtId="0" fontId="4" fillId="24" borderId="1" xfId="0" applyFont="1" applyFill="1" applyBorder="1"/>
    <xf numFmtId="164" fontId="0" fillId="25" borderId="1" xfId="0" applyNumberFormat="1" applyFill="1" applyBorder="1"/>
    <xf numFmtId="164" fontId="0" fillId="26" borderId="1" xfId="0" applyNumberFormat="1" applyFill="1" applyBorder="1"/>
    <xf numFmtId="164" fontId="0" fillId="27" borderId="1" xfId="0" applyNumberFormat="1" applyFill="1" applyBorder="1"/>
    <xf numFmtId="3" fontId="0" fillId="25" borderId="1" xfId="0" applyNumberFormat="1" applyFill="1" applyBorder="1"/>
    <xf numFmtId="3" fontId="0" fillId="26" borderId="1" xfId="0" applyNumberFormat="1" applyFill="1" applyBorder="1"/>
    <xf numFmtId="3" fontId="0" fillId="27" borderId="1" xfId="0" applyNumberFormat="1" applyFill="1" applyBorder="1"/>
    <xf numFmtId="0" fontId="4" fillId="29" borderId="1" xfId="0" applyFont="1" applyFill="1" applyBorder="1"/>
    <xf numFmtId="0" fontId="4" fillId="34" borderId="0" xfId="0" applyFont="1" applyFill="1"/>
    <xf numFmtId="0" fontId="0" fillId="35" borderId="0" xfId="0" applyFill="1"/>
    <xf numFmtId="3" fontId="0" fillId="35" borderId="0" xfId="0" applyNumberFormat="1" applyFill="1"/>
    <xf numFmtId="0" fontId="3" fillId="23" borderId="0" xfId="0" applyFont="1" applyFill="1"/>
    <xf numFmtId="0" fontId="10" fillId="32" borderId="0" xfId="0" applyFont="1" applyFill="1"/>
    <xf numFmtId="0" fontId="4" fillId="38" borderId="1" xfId="0" applyFont="1" applyFill="1" applyBorder="1"/>
    <xf numFmtId="0" fontId="1" fillId="25" borderId="1" xfId="0" applyFont="1" applyFill="1" applyBorder="1"/>
    <xf numFmtId="166" fontId="0" fillId="0" borderId="1" xfId="0" applyNumberFormat="1" applyBorder="1"/>
    <xf numFmtId="0" fontId="0" fillId="39" borderId="1" xfId="0" applyFill="1" applyBorder="1"/>
    <xf numFmtId="164" fontId="0" fillId="39" borderId="1" xfId="0" applyNumberFormat="1" applyFill="1" applyBorder="1"/>
    <xf numFmtId="0" fontId="1" fillId="26" borderId="1" xfId="0" applyFont="1" applyFill="1" applyBorder="1"/>
    <xf numFmtId="0" fontId="0" fillId="27" borderId="1" xfId="0" applyFill="1" applyBorder="1"/>
    <xf numFmtId="166" fontId="0" fillId="27" borderId="1" xfId="0" applyNumberFormat="1" applyFill="1" applyBorder="1"/>
    <xf numFmtId="0" fontId="1" fillId="40" borderId="1" xfId="0" applyFont="1" applyFill="1" applyBorder="1"/>
    <xf numFmtId="0" fontId="4" fillId="32" borderId="1" xfId="0" applyFont="1" applyFill="1" applyBorder="1"/>
    <xf numFmtId="0" fontId="0" fillId="25" borderId="1" xfId="0" applyFill="1" applyBorder="1"/>
    <xf numFmtId="0" fontId="4" fillId="41" borderId="1" xfId="0" applyFont="1" applyFill="1" applyBorder="1"/>
    <xf numFmtId="165" fontId="0" fillId="0" borderId="1" xfId="0" applyNumberFormat="1" applyBorder="1"/>
    <xf numFmtId="0" fontId="4" fillId="43" borderId="1" xfId="0" applyFont="1" applyFill="1" applyBorder="1"/>
    <xf numFmtId="0" fontId="0" fillId="44" borderId="1" xfId="0" applyFill="1" applyBorder="1"/>
    <xf numFmtId="166" fontId="0" fillId="44" borderId="1" xfId="0" applyNumberFormat="1" applyFill="1" applyBorder="1"/>
    <xf numFmtId="0" fontId="4" fillId="45" borderId="1" xfId="0" applyFont="1" applyFill="1" applyBorder="1"/>
    <xf numFmtId="0" fontId="4" fillId="47" borderId="1" xfId="0" applyFont="1" applyFill="1" applyBorder="1"/>
    <xf numFmtId="0" fontId="0" fillId="48" borderId="1" xfId="0" applyFill="1" applyBorder="1"/>
    <xf numFmtId="164" fontId="0" fillId="48" borderId="1" xfId="0" applyNumberFormat="1" applyFill="1" applyBorder="1"/>
    <xf numFmtId="0" fontId="0" fillId="49" borderId="1" xfId="0" applyFill="1" applyBorder="1"/>
    <xf numFmtId="164" fontId="0" fillId="49" borderId="1" xfId="0" applyNumberFormat="1" applyFill="1" applyBorder="1"/>
    <xf numFmtId="0" fontId="10" fillId="36" borderId="0" xfId="0" applyFont="1" applyFill="1"/>
    <xf numFmtId="0" fontId="0" fillId="35" borderId="1" xfId="0" applyFill="1" applyBorder="1"/>
    <xf numFmtId="0" fontId="0" fillId="9" borderId="1" xfId="0" applyFill="1" applyBorder="1"/>
    <xf numFmtId="0" fontId="10" fillId="53" borderId="0" xfId="0" applyFont="1" applyFill="1"/>
    <xf numFmtId="0" fontId="4" fillId="11" borderId="1" xfId="0" applyFont="1" applyFill="1" applyBorder="1"/>
    <xf numFmtId="0" fontId="0" fillId="6" borderId="1" xfId="0" applyFill="1" applyBorder="1"/>
    <xf numFmtId="0" fontId="8" fillId="55" borderId="0" xfId="0" applyFont="1" applyFill="1"/>
    <xf numFmtId="0" fontId="5" fillId="56" borderId="0" xfId="0" applyFont="1" applyFill="1"/>
    <xf numFmtId="0" fontId="1" fillId="57" borderId="0" xfId="0" applyFont="1" applyFill="1"/>
    <xf numFmtId="0" fontId="1" fillId="58" borderId="0" xfId="0" applyFont="1" applyFill="1"/>
    <xf numFmtId="0" fontId="0" fillId="59" borderId="0" xfId="0" applyFill="1"/>
    <xf numFmtId="3" fontId="0" fillId="59" borderId="0" xfId="0" applyNumberFormat="1" applyFill="1"/>
    <xf numFmtId="10" fontId="0" fillId="59" borderId="0" xfId="0" applyNumberFormat="1" applyFill="1"/>
    <xf numFmtId="0" fontId="0" fillId="2" borderId="1" xfId="0" applyFill="1" applyBorder="1"/>
    <xf numFmtId="0" fontId="1" fillId="18" borderId="3" xfId="0" applyFont="1" applyFill="1" applyBorder="1"/>
    <xf numFmtId="3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59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52" borderId="0" xfId="0" applyFont="1" applyFill="1"/>
    <xf numFmtId="0" fontId="5" fillId="53" borderId="0" xfId="0" applyFont="1" applyFill="1"/>
    <xf numFmtId="0" fontId="0" fillId="12" borderId="1" xfId="0" applyFill="1" applyBorder="1"/>
    <xf numFmtId="10" fontId="0" fillId="0" borderId="1" xfId="0" applyNumberFormat="1" applyBorder="1"/>
    <xf numFmtId="0" fontId="0" fillId="54" borderId="1" xfId="0" applyFill="1" applyBorder="1"/>
    <xf numFmtId="0" fontId="12" fillId="25" borderId="1" xfId="0" applyFont="1" applyFill="1" applyBorder="1"/>
    <xf numFmtId="0" fontId="12" fillId="26" borderId="1" xfId="0" applyFont="1" applyFill="1" applyBorder="1"/>
    <xf numFmtId="0" fontId="12" fillId="27" borderId="1" xfId="0" applyFont="1" applyFill="1" applyBorder="1"/>
    <xf numFmtId="3" fontId="0" fillId="6" borderId="1" xfId="0" applyNumberFormat="1" applyFill="1" applyBorder="1"/>
    <xf numFmtId="3" fontId="0" fillId="18" borderId="0" xfId="0" applyNumberFormat="1" applyFill="1"/>
    <xf numFmtId="0" fontId="0" fillId="61" borderId="0" xfId="0" applyFill="1"/>
    <xf numFmtId="49" fontId="0" fillId="59" borderId="0" xfId="0" applyNumberFormat="1" applyFill="1"/>
    <xf numFmtId="49" fontId="0" fillId="0" borderId="0" xfId="0" applyNumberFormat="1"/>
    <xf numFmtId="0" fontId="13" fillId="0" borderId="0" xfId="0" applyFont="1"/>
    <xf numFmtId="164" fontId="0" fillId="2" borderId="1" xfId="0" applyNumberFormat="1" applyFill="1" applyBorder="1"/>
    <xf numFmtId="0" fontId="0" fillId="60" borderId="0" xfId="0" applyFill="1"/>
    <xf numFmtId="164" fontId="0" fillId="60" borderId="0" xfId="0" applyNumberFormat="1" applyFill="1"/>
    <xf numFmtId="0" fontId="0" fillId="62" borderId="0" xfId="0" applyFill="1"/>
    <xf numFmtId="0" fontId="16" fillId="62" borderId="0" xfId="0" applyFont="1" applyFill="1" applyAlignment="1">
      <alignment vertical="center"/>
    </xf>
    <xf numFmtId="166" fontId="30" fillId="17" borderId="6" xfId="0" applyNumberFormat="1" applyFont="1" applyFill="1" applyBorder="1" applyAlignment="1">
      <alignment horizontal="right" vertical="center"/>
    </xf>
    <xf numFmtId="164" fontId="31" fillId="17" borderId="7" xfId="0" applyNumberFormat="1" applyFont="1" applyFill="1" applyBorder="1" applyAlignment="1">
      <alignment horizontal="center" vertical="center"/>
    </xf>
    <xf numFmtId="164" fontId="32" fillId="17" borderId="5" xfId="0" applyNumberFormat="1" applyFont="1" applyFill="1" applyBorder="1" applyAlignment="1">
      <alignment horizontal="center" vertical="center"/>
    </xf>
    <xf numFmtId="164" fontId="30" fillId="17" borderId="6" xfId="0" applyNumberFormat="1" applyFont="1" applyFill="1" applyBorder="1" applyAlignment="1">
      <alignment horizontal="right" vertical="center"/>
    </xf>
    <xf numFmtId="167" fontId="31" fillId="17" borderId="7" xfId="0" applyNumberFormat="1" applyFont="1" applyFill="1" applyBorder="1" applyAlignment="1">
      <alignment horizontal="center" vertical="center"/>
    </xf>
    <xf numFmtId="0" fontId="32" fillId="17" borderId="5" xfId="0" applyFont="1" applyFill="1" applyBorder="1" applyAlignment="1">
      <alignment horizontal="center" vertical="center"/>
    </xf>
    <xf numFmtId="3" fontId="30" fillId="17" borderId="1" xfId="0" applyNumberFormat="1" applyFont="1" applyFill="1" applyBorder="1" applyAlignment="1">
      <alignment horizontal="right" vertical="center"/>
    </xf>
    <xf numFmtId="3" fontId="33" fillId="17" borderId="1" xfId="0" applyNumberFormat="1" applyFont="1" applyFill="1" applyBorder="1" applyAlignment="1">
      <alignment horizontal="right" vertical="center"/>
    </xf>
    <xf numFmtId="0" fontId="19" fillId="65" borderId="13" xfId="0" applyFont="1" applyFill="1" applyBorder="1" applyAlignment="1">
      <alignment horizontal="center" vertical="center"/>
    </xf>
    <xf numFmtId="0" fontId="16" fillId="62" borderId="0" xfId="0" applyFont="1" applyFill="1" applyAlignment="1">
      <alignment horizontal="left" vertical="center" indent="1"/>
    </xf>
    <xf numFmtId="0" fontId="16" fillId="68" borderId="0" xfId="0" applyFont="1" applyFill="1" applyAlignment="1">
      <alignment vertical="center"/>
    </xf>
    <xf numFmtId="0" fontId="15" fillId="69" borderId="0" xfId="0" applyFont="1" applyFill="1" applyAlignment="1">
      <alignment horizontal="center" vertical="center"/>
    </xf>
    <xf numFmtId="0" fontId="19" fillId="65" borderId="26" xfId="0" applyFont="1" applyFill="1" applyBorder="1" applyAlignment="1">
      <alignment horizontal="center" vertical="center"/>
    </xf>
    <xf numFmtId="166" fontId="30" fillId="62" borderId="6" xfId="0" applyNumberFormat="1" applyFont="1" applyFill="1" applyBorder="1" applyAlignment="1">
      <alignment horizontal="right" vertical="center"/>
    </xf>
    <xf numFmtId="164" fontId="31" fillId="62" borderId="7" xfId="0" applyNumberFormat="1" applyFont="1" applyFill="1" applyBorder="1" applyAlignment="1">
      <alignment horizontal="center" vertical="center"/>
    </xf>
    <xf numFmtId="164" fontId="32" fillId="62" borderId="5" xfId="0" applyNumberFormat="1" applyFont="1" applyFill="1" applyBorder="1" applyAlignment="1">
      <alignment horizontal="center" vertical="center"/>
    </xf>
    <xf numFmtId="165" fontId="30" fillId="62" borderId="6" xfId="0" applyNumberFormat="1" applyFont="1" applyFill="1" applyBorder="1" applyAlignment="1">
      <alignment horizontal="right" vertical="center"/>
    </xf>
    <xf numFmtId="164" fontId="30" fillId="62" borderId="6" xfId="0" applyNumberFormat="1" applyFont="1" applyFill="1" applyBorder="1" applyAlignment="1">
      <alignment horizontal="right" vertical="center"/>
    </xf>
    <xf numFmtId="167" fontId="31" fillId="62" borderId="7" xfId="0" applyNumberFormat="1" applyFont="1" applyFill="1" applyBorder="1" applyAlignment="1">
      <alignment horizontal="center" vertical="center"/>
    </xf>
    <xf numFmtId="0" fontId="32" fillId="62" borderId="5" xfId="0" applyFont="1" applyFill="1" applyBorder="1" applyAlignment="1">
      <alignment horizontal="center" vertical="center"/>
    </xf>
    <xf numFmtId="0" fontId="16" fillId="67" borderId="0" xfId="0" applyFont="1" applyFill="1" applyAlignment="1">
      <alignment vertical="center"/>
    </xf>
    <xf numFmtId="0" fontId="25" fillId="66" borderId="29" xfId="0" applyFont="1" applyFill="1" applyBorder="1" applyAlignment="1">
      <alignment horizontal="center" vertical="center"/>
    </xf>
    <xf numFmtId="164" fontId="20" fillId="17" borderId="30" xfId="0" applyNumberFormat="1" applyFont="1" applyFill="1" applyBorder="1" applyAlignment="1">
      <alignment horizontal="center" vertical="center"/>
    </xf>
    <xf numFmtId="0" fontId="19" fillId="65" borderId="31" xfId="0" applyFont="1" applyFill="1" applyBorder="1" applyAlignment="1">
      <alignment horizontal="center" vertical="center"/>
    </xf>
    <xf numFmtId="3" fontId="30" fillId="62" borderId="1" xfId="0" applyNumberFormat="1" applyFont="1" applyFill="1" applyBorder="1" applyAlignment="1">
      <alignment horizontal="right" vertical="center"/>
    </xf>
    <xf numFmtId="3" fontId="33" fillId="62" borderId="1" xfId="0" applyNumberFormat="1" applyFont="1" applyFill="1" applyBorder="1" applyAlignment="1">
      <alignment horizontal="right" vertical="center"/>
    </xf>
    <xf numFmtId="164" fontId="30" fillId="17" borderId="1" xfId="0" applyNumberFormat="1" applyFont="1" applyFill="1" applyBorder="1" applyAlignment="1">
      <alignment horizontal="right" vertical="center"/>
    </xf>
    <xf numFmtId="164" fontId="33" fillId="17" borderId="1" xfId="0" applyNumberFormat="1" applyFont="1" applyFill="1" applyBorder="1" applyAlignment="1">
      <alignment horizontal="right" vertical="center"/>
    </xf>
    <xf numFmtId="0" fontId="40" fillId="8" borderId="0" xfId="0" applyFont="1" applyFill="1" applyAlignment="1">
      <alignment horizontal="right" vertical="center"/>
    </xf>
    <xf numFmtId="0" fontId="42" fillId="7" borderId="0" xfId="0" applyFont="1" applyFill="1" applyAlignment="1">
      <alignment horizontal="right" vertical="center"/>
    </xf>
    <xf numFmtId="0" fontId="37" fillId="8" borderId="14" xfId="0" applyFont="1" applyFill="1" applyBorder="1" applyAlignment="1">
      <alignment vertical="center"/>
    </xf>
    <xf numFmtId="0" fontId="37" fillId="8" borderId="0" xfId="0" applyFont="1" applyFill="1" applyAlignment="1">
      <alignment vertical="center"/>
    </xf>
    <xf numFmtId="0" fontId="29" fillId="8" borderId="32" xfId="0" applyFont="1" applyFill="1" applyBorder="1" applyAlignment="1">
      <alignment vertical="center"/>
    </xf>
    <xf numFmtId="0" fontId="29" fillId="8" borderId="33" xfId="0" applyFont="1" applyFill="1" applyBorder="1" applyAlignment="1">
      <alignment vertical="center"/>
    </xf>
    <xf numFmtId="0" fontId="18" fillId="67" borderId="39" xfId="0" applyFont="1" applyFill="1" applyBorder="1" applyAlignment="1">
      <alignment horizontal="left" vertical="center" indent="1"/>
    </xf>
    <xf numFmtId="0" fontId="22" fillId="67" borderId="39" xfId="0" applyFont="1" applyFill="1" applyBorder="1" applyAlignment="1">
      <alignment horizontal="left" vertical="center" indent="1"/>
    </xf>
    <xf numFmtId="0" fontId="16" fillId="67" borderId="39" xfId="0" applyFont="1" applyFill="1" applyBorder="1" applyAlignment="1">
      <alignment horizontal="left" vertical="center" indent="1"/>
    </xf>
    <xf numFmtId="0" fontId="16" fillId="67" borderId="42" xfId="0" applyFont="1" applyFill="1" applyBorder="1" applyAlignment="1">
      <alignment vertical="center"/>
    </xf>
    <xf numFmtId="0" fontId="16" fillId="67" borderId="43" xfId="0" applyFont="1" applyFill="1" applyBorder="1" applyAlignment="1">
      <alignment vertical="center"/>
    </xf>
    <xf numFmtId="164" fontId="30" fillId="17" borderId="46" xfId="0" applyNumberFormat="1" applyFont="1" applyFill="1" applyBorder="1" applyAlignment="1">
      <alignment horizontal="right" vertical="center"/>
    </xf>
    <xf numFmtId="164" fontId="31" fillId="17" borderId="47" xfId="0" applyNumberFormat="1" applyFont="1" applyFill="1" applyBorder="1" applyAlignment="1">
      <alignment horizontal="center" vertical="center"/>
    </xf>
    <xf numFmtId="0" fontId="32" fillId="17" borderId="48" xfId="0" applyFont="1" applyFill="1" applyBorder="1" applyAlignment="1">
      <alignment horizontal="center" vertical="center"/>
    </xf>
    <xf numFmtId="0" fontId="19" fillId="65" borderId="50" xfId="0" applyFont="1" applyFill="1" applyBorder="1" applyAlignment="1">
      <alignment horizontal="center" vertical="center"/>
    </xf>
    <xf numFmtId="164" fontId="21" fillId="62" borderId="55" xfId="0" applyNumberFormat="1" applyFont="1" applyFill="1" applyBorder="1" applyAlignment="1">
      <alignment horizontal="center" vertical="center"/>
    </xf>
    <xf numFmtId="164" fontId="21" fillId="17" borderId="55" xfId="0" applyNumberFormat="1" applyFont="1" applyFill="1" applyBorder="1" applyAlignment="1">
      <alignment horizontal="center" vertical="center"/>
    </xf>
    <xf numFmtId="0" fontId="21" fillId="17" borderId="55" xfId="0" applyFont="1" applyFill="1" applyBorder="1" applyAlignment="1">
      <alignment horizontal="center" vertical="center"/>
    </xf>
    <xf numFmtId="0" fontId="21" fillId="62" borderId="55" xfId="0" applyFont="1" applyFill="1" applyBorder="1" applyAlignment="1">
      <alignment horizontal="center" vertical="center"/>
    </xf>
    <xf numFmtId="0" fontId="21" fillId="17" borderId="56" xfId="0" applyFont="1" applyFill="1" applyBorder="1" applyAlignment="1">
      <alignment horizontal="center" vertical="center"/>
    </xf>
    <xf numFmtId="164" fontId="30" fillId="62" borderId="59" xfId="0" applyNumberFormat="1" applyFont="1" applyFill="1" applyBorder="1" applyAlignment="1">
      <alignment horizontal="right" vertical="center"/>
    </xf>
    <xf numFmtId="164" fontId="33" fillId="62" borderId="59" xfId="0" applyNumberFormat="1" applyFont="1" applyFill="1" applyBorder="1" applyAlignment="1">
      <alignment horizontal="right" vertical="center"/>
    </xf>
    <xf numFmtId="0" fontId="19" fillId="65" borderId="61" xfId="0" applyFont="1" applyFill="1" applyBorder="1" applyAlignment="1">
      <alignment horizontal="center" vertical="center"/>
    </xf>
    <xf numFmtId="0" fontId="29" fillId="62" borderId="62" xfId="0" applyFont="1" applyFill="1" applyBorder="1" applyAlignment="1">
      <alignment horizontal="left" vertical="center" indent="1"/>
    </xf>
    <xf numFmtId="0" fontId="29" fillId="17" borderId="62" xfId="0" applyFont="1" applyFill="1" applyBorder="1" applyAlignment="1">
      <alignment horizontal="left" vertical="center" indent="1"/>
    </xf>
    <xf numFmtId="0" fontId="29" fillId="62" borderId="63" xfId="0" applyFont="1" applyFill="1" applyBorder="1" applyAlignment="1">
      <alignment horizontal="left" vertical="center" indent="1"/>
    </xf>
    <xf numFmtId="0" fontId="19" fillId="65" borderId="65" xfId="0" applyFont="1" applyFill="1" applyBorder="1" applyAlignment="1">
      <alignment horizontal="center" vertical="center"/>
    </xf>
    <xf numFmtId="3" fontId="33" fillId="62" borderId="66" xfId="0" applyNumberFormat="1" applyFont="1" applyFill="1" applyBorder="1" applyAlignment="1">
      <alignment horizontal="right" vertical="center"/>
    </xf>
    <xf numFmtId="3" fontId="33" fillId="17" borderId="66" xfId="0" applyNumberFormat="1" applyFont="1" applyFill="1" applyBorder="1" applyAlignment="1">
      <alignment horizontal="right" vertical="center"/>
    </xf>
    <xf numFmtId="164" fontId="33" fillId="17" borderId="66" xfId="0" applyNumberFormat="1" applyFont="1" applyFill="1" applyBorder="1" applyAlignment="1">
      <alignment horizontal="right" vertical="center"/>
    </xf>
    <xf numFmtId="164" fontId="33" fillId="62" borderId="67" xfId="0" applyNumberFormat="1" applyFont="1" applyFill="1" applyBorder="1" applyAlignment="1">
      <alignment horizontal="right" vertical="center"/>
    </xf>
    <xf numFmtId="0" fontId="28" fillId="62" borderId="51" xfId="0" applyFont="1" applyFill="1" applyBorder="1" applyAlignment="1">
      <alignment horizontal="left" vertical="center"/>
    </xf>
    <xf numFmtId="0" fontId="28" fillId="17" borderId="51" xfId="0" applyFont="1" applyFill="1" applyBorder="1" applyAlignment="1">
      <alignment horizontal="left" vertical="center"/>
    </xf>
    <xf numFmtId="0" fontId="28" fillId="17" borderId="52" xfId="0" applyFont="1" applyFill="1" applyBorder="1" applyAlignment="1">
      <alignment horizontal="left" vertical="center"/>
    </xf>
    <xf numFmtId="0" fontId="0" fillId="63" borderId="0" xfId="0" applyFill="1"/>
    <xf numFmtId="0" fontId="4" fillId="63" borderId="0" xfId="0" applyFont="1" applyFill="1" applyAlignment="1">
      <alignment horizontal="center"/>
    </xf>
    <xf numFmtId="0" fontId="1" fillId="63" borderId="0" xfId="0" applyFont="1" applyFill="1" applyAlignment="1">
      <alignment horizontal="center"/>
    </xf>
    <xf numFmtId="0" fontId="19" fillId="66" borderId="27" xfId="0" applyFont="1" applyFill="1" applyBorder="1" applyAlignment="1">
      <alignment horizontal="center" vertical="center"/>
    </xf>
    <xf numFmtId="0" fontId="19" fillId="66" borderId="28" xfId="0" applyFont="1" applyFill="1" applyBorder="1" applyAlignment="1">
      <alignment horizontal="center" vertical="center"/>
    </xf>
    <xf numFmtId="0" fontId="19" fillId="66" borderId="54" xfId="0" applyFont="1" applyFill="1" applyBorder="1" applyAlignment="1">
      <alignment horizontal="center" vertical="center"/>
    </xf>
    <xf numFmtId="0" fontId="36" fillId="6" borderId="37" xfId="0" applyFont="1" applyFill="1" applyBorder="1" applyAlignment="1">
      <alignment horizontal="right" vertical="center"/>
    </xf>
    <xf numFmtId="0" fontId="19" fillId="65" borderId="39" xfId="0" applyFont="1" applyFill="1" applyBorder="1" applyAlignment="1">
      <alignment horizontal="center" vertical="center"/>
    </xf>
    <xf numFmtId="0" fontId="39" fillId="8" borderId="39" xfId="0" applyFont="1" applyFill="1" applyBorder="1" applyAlignment="1">
      <alignment vertical="center"/>
    </xf>
    <xf numFmtId="0" fontId="41" fillId="7" borderId="39" xfId="0" applyFont="1" applyFill="1" applyBorder="1" applyAlignment="1">
      <alignment vertical="center"/>
    </xf>
    <xf numFmtId="0" fontId="34" fillId="6" borderId="40" xfId="0" applyFont="1" applyFill="1" applyBorder="1" applyAlignment="1">
      <alignment vertical="center"/>
    </xf>
    <xf numFmtId="0" fontId="19" fillId="65" borderId="72" xfId="0" applyFont="1" applyFill="1" applyBorder="1" applyAlignment="1">
      <alignment horizontal="center" vertical="center"/>
    </xf>
    <xf numFmtId="10" fontId="40" fillId="8" borderId="43" xfId="0" applyNumberFormat="1" applyFont="1" applyFill="1" applyBorder="1" applyAlignment="1">
      <alignment horizontal="right" vertical="center"/>
    </xf>
    <xf numFmtId="10" fontId="42" fillId="7" borderId="43" xfId="0" applyNumberFormat="1" applyFont="1" applyFill="1" applyBorder="1" applyAlignment="1">
      <alignment horizontal="right" vertical="center"/>
    </xf>
    <xf numFmtId="10" fontId="36" fillId="6" borderId="44" xfId="0" applyNumberFormat="1" applyFont="1" applyFill="1" applyBorder="1" applyAlignment="1">
      <alignment horizontal="right" vertical="center"/>
    </xf>
    <xf numFmtId="0" fontId="29" fillId="8" borderId="73" xfId="0" applyFont="1" applyFill="1" applyBorder="1" applyAlignment="1">
      <alignment vertical="center"/>
    </xf>
    <xf numFmtId="0" fontId="37" fillId="8" borderId="75" xfId="0" applyFont="1" applyFill="1" applyBorder="1" applyAlignment="1">
      <alignment vertical="center"/>
    </xf>
    <xf numFmtId="0" fontId="37" fillId="8" borderId="76" xfId="0" applyFont="1" applyFill="1" applyBorder="1" applyAlignment="1">
      <alignment vertical="center"/>
    </xf>
    <xf numFmtId="0" fontId="16" fillId="62" borderId="59" xfId="0" applyFont="1" applyFill="1" applyBorder="1" applyAlignment="1">
      <alignment vertical="center"/>
    </xf>
    <xf numFmtId="0" fontId="47" fillId="76" borderId="0" xfId="0" applyFont="1" applyFill="1" applyAlignment="1">
      <alignment horizontal="center" vertical="center"/>
    </xf>
    <xf numFmtId="0" fontId="49" fillId="59" borderId="0" xfId="1" applyFill="1"/>
    <xf numFmtId="0" fontId="49" fillId="0" borderId="0" xfId="1"/>
    <xf numFmtId="0" fontId="35" fillId="8" borderId="59" xfId="0" applyFont="1" applyFill="1" applyBorder="1" applyAlignment="1">
      <alignment vertical="center"/>
    </xf>
    <xf numFmtId="0" fontId="35" fillId="8" borderId="67" xfId="0" applyFont="1" applyFill="1" applyBorder="1" applyAlignment="1">
      <alignment vertical="center"/>
    </xf>
    <xf numFmtId="0" fontId="25" fillId="64" borderId="79" xfId="0" applyFont="1" applyFill="1" applyBorder="1" applyAlignment="1">
      <alignment vertical="center"/>
    </xf>
    <xf numFmtId="0" fontId="25" fillId="64" borderId="45" xfId="0" applyFont="1" applyFill="1" applyBorder="1" applyAlignment="1">
      <alignment vertical="center"/>
    </xf>
    <xf numFmtId="0" fontId="25" fillId="64" borderId="74" xfId="0" applyFont="1" applyFill="1" applyBorder="1" applyAlignment="1">
      <alignment vertical="center"/>
    </xf>
    <xf numFmtId="0" fontId="26" fillId="70" borderId="0" xfId="0" applyFont="1" applyFill="1" applyAlignment="1">
      <alignment horizontal="center" vertical="center"/>
    </xf>
    <xf numFmtId="0" fontId="25" fillId="64" borderId="49" xfId="0" applyFont="1" applyFill="1" applyBorder="1" applyAlignment="1">
      <alignment vertical="center"/>
    </xf>
    <xf numFmtId="0" fontId="25" fillId="64" borderId="70" xfId="0" applyFont="1" applyFill="1" applyBorder="1" applyAlignment="1">
      <alignment vertical="center"/>
    </xf>
    <xf numFmtId="0" fontId="25" fillId="64" borderId="71" xfId="0" applyFont="1" applyFill="1" applyBorder="1" applyAlignment="1">
      <alignment vertical="center"/>
    </xf>
    <xf numFmtId="0" fontId="27" fillId="64" borderId="45" xfId="0" applyFont="1" applyFill="1" applyBorder="1" applyAlignment="1">
      <alignment vertical="center"/>
    </xf>
    <xf numFmtId="0" fontId="27" fillId="64" borderId="74" xfId="0" applyFont="1" applyFill="1" applyBorder="1" applyAlignment="1">
      <alignment vertical="center"/>
    </xf>
    <xf numFmtId="0" fontId="25" fillId="64" borderId="38" xfId="0" applyFont="1" applyFill="1" applyBorder="1" applyAlignment="1">
      <alignment vertical="center"/>
    </xf>
    <xf numFmtId="0" fontId="25" fillId="64" borderId="36" xfId="0" applyFont="1" applyFill="1" applyBorder="1" applyAlignment="1">
      <alignment vertical="center"/>
    </xf>
    <xf numFmtId="0" fontId="25" fillId="64" borderId="41" xfId="0" applyFont="1" applyFill="1" applyBorder="1" applyAlignment="1">
      <alignment vertical="center"/>
    </xf>
    <xf numFmtId="0" fontId="25" fillId="64" borderId="60" xfId="0" applyFont="1" applyFill="1" applyBorder="1" applyAlignment="1">
      <alignment vertical="center"/>
    </xf>
    <xf numFmtId="0" fontId="25" fillId="64" borderId="58" xfId="0" applyFont="1" applyFill="1" applyBorder="1" applyAlignment="1">
      <alignment vertical="center"/>
    </xf>
    <xf numFmtId="0" fontId="25" fillId="64" borderId="64" xfId="0" applyFont="1" applyFill="1" applyBorder="1" applyAlignment="1">
      <alignment vertical="center"/>
    </xf>
    <xf numFmtId="0" fontId="25" fillId="64" borderId="24" xfId="0" applyFont="1" applyFill="1" applyBorder="1" applyAlignment="1">
      <alignment horizontal="center" vertical="center"/>
    </xf>
    <xf numFmtId="0" fontId="25" fillId="64" borderId="0" xfId="0" applyFont="1" applyFill="1" applyAlignment="1">
      <alignment horizontal="center" vertical="center"/>
    </xf>
    <xf numFmtId="0" fontId="27" fillId="64" borderId="49" xfId="0" applyFont="1" applyFill="1" applyBorder="1" applyAlignment="1">
      <alignment horizontal="center" vertical="center"/>
    </xf>
    <xf numFmtId="0" fontId="27" fillId="64" borderId="45" xfId="0" applyFont="1" applyFill="1" applyBorder="1" applyAlignment="1">
      <alignment horizontal="center" vertical="center"/>
    </xf>
    <xf numFmtId="0" fontId="27" fillId="64" borderId="53" xfId="0" applyFont="1" applyFill="1" applyBorder="1" applyAlignment="1">
      <alignment horizontal="center" vertical="center"/>
    </xf>
    <xf numFmtId="0" fontId="48" fillId="74" borderId="69" xfId="0" applyFont="1" applyFill="1" applyBorder="1" applyAlignment="1">
      <alignment vertical="center"/>
    </xf>
    <xf numFmtId="0" fontId="17" fillId="73" borderId="25" xfId="0" applyFont="1" applyFill="1" applyBorder="1" applyAlignment="1">
      <alignment vertical="center"/>
    </xf>
    <xf numFmtId="0" fontId="17" fillId="73" borderId="14" xfId="0" applyFont="1" applyFill="1" applyBorder="1" applyAlignment="1">
      <alignment vertical="center"/>
    </xf>
    <xf numFmtId="0" fontId="17" fillId="73" borderId="16" xfId="0" applyFont="1" applyFill="1" applyBorder="1" applyAlignment="1">
      <alignment vertical="center"/>
    </xf>
    <xf numFmtId="0" fontId="44" fillId="10" borderId="15" xfId="0" applyFont="1" applyFill="1" applyBorder="1" applyAlignment="1">
      <alignment vertical="center"/>
    </xf>
    <xf numFmtId="0" fontId="44" fillId="10" borderId="0" xfId="0" applyFont="1" applyFill="1" applyAlignment="1">
      <alignment vertical="center"/>
    </xf>
    <xf numFmtId="0" fontId="44" fillId="10" borderId="17" xfId="0" applyFont="1" applyFill="1" applyBorder="1" applyAlignment="1">
      <alignment vertical="center"/>
    </xf>
    <xf numFmtId="0" fontId="45" fillId="74" borderId="11" xfId="0" applyFont="1" applyFill="1" applyBorder="1" applyAlignment="1">
      <alignment vertical="center"/>
    </xf>
    <xf numFmtId="0" fontId="45" fillId="74" borderId="10" xfId="0" applyFont="1" applyFill="1" applyBorder="1" applyAlignment="1">
      <alignment vertical="center"/>
    </xf>
    <xf numFmtId="0" fontId="45" fillId="74" borderId="12" xfId="0" applyFont="1" applyFill="1" applyBorder="1" applyAlignment="1">
      <alignment vertical="center"/>
    </xf>
    <xf numFmtId="164" fontId="38" fillId="8" borderId="0" xfId="0" applyNumberFormat="1" applyFont="1" applyFill="1" applyAlignment="1">
      <alignment horizontal="center" vertical="center"/>
    </xf>
    <xf numFmtId="164" fontId="38" fillId="8" borderId="43" xfId="0" applyNumberFormat="1" applyFont="1" applyFill="1" applyBorder="1" applyAlignment="1">
      <alignment vertical="center"/>
    </xf>
    <xf numFmtId="0" fontId="46" fillId="75" borderId="68" xfId="0" applyFont="1" applyFill="1" applyBorder="1" applyAlignment="1">
      <alignment horizontal="left" vertical="center" indent="1"/>
    </xf>
    <xf numFmtId="0" fontId="46" fillId="75" borderId="37" xfId="0" applyFont="1" applyFill="1" applyBorder="1" applyAlignment="1">
      <alignment vertical="center"/>
    </xf>
    <xf numFmtId="0" fontId="46" fillId="75" borderId="44" xfId="0" applyFont="1" applyFill="1" applyBorder="1" applyAlignment="1">
      <alignment vertical="center"/>
    </xf>
    <xf numFmtId="0" fontId="16" fillId="68" borderId="0" xfId="0" applyFont="1" applyFill="1" applyAlignment="1">
      <alignment vertical="center"/>
    </xf>
    <xf numFmtId="0" fontId="23" fillId="63" borderId="4" xfId="0" applyFont="1" applyFill="1" applyBorder="1" applyAlignment="1">
      <alignment horizontal="left" vertical="center"/>
    </xf>
    <xf numFmtId="0" fontId="21" fillId="63" borderId="0" xfId="0" applyFont="1" applyFill="1" applyAlignment="1">
      <alignment horizontal="center" vertical="center"/>
    </xf>
    <xf numFmtId="0" fontId="23" fillId="63" borderId="0" xfId="0" applyFont="1" applyFill="1" applyAlignment="1">
      <alignment horizontal="center" vertical="center"/>
    </xf>
    <xf numFmtId="0" fontId="24" fillId="63" borderId="0" xfId="0" applyFont="1" applyFill="1" applyAlignment="1">
      <alignment horizontal="center" vertical="center"/>
    </xf>
    <xf numFmtId="0" fontId="21" fillId="63" borderId="57" xfId="0" applyFont="1" applyFill="1" applyBorder="1" applyAlignment="1">
      <alignment horizontal="center" vertical="center"/>
    </xf>
    <xf numFmtId="0" fontId="0" fillId="63" borderId="0" xfId="0" applyFill="1"/>
    <xf numFmtId="0" fontId="17" fillId="71" borderId="39" xfId="0" applyFont="1" applyFill="1" applyBorder="1" applyAlignment="1">
      <alignment vertical="center"/>
    </xf>
    <xf numFmtId="0" fontId="17" fillId="71" borderId="18" xfId="0" applyFont="1" applyFill="1" applyBorder="1" applyAlignment="1">
      <alignment vertical="center"/>
    </xf>
    <xf numFmtId="0" fontId="17" fillId="71" borderId="19" xfId="0" applyFont="1" applyFill="1" applyBorder="1" applyAlignment="1">
      <alignment vertical="center"/>
    </xf>
    <xf numFmtId="0" fontId="17" fillId="72" borderId="23" xfId="0" applyFont="1" applyFill="1" applyBorder="1" applyAlignment="1">
      <alignment vertical="center"/>
    </xf>
    <xf numFmtId="0" fontId="17" fillId="72" borderId="22" xfId="0" applyFont="1" applyFill="1" applyBorder="1" applyAlignment="1">
      <alignment vertical="center"/>
    </xf>
    <xf numFmtId="0" fontId="17" fillId="72" borderId="81" xfId="0" applyFont="1" applyFill="1" applyBorder="1" applyAlignment="1">
      <alignment vertical="center"/>
    </xf>
    <xf numFmtId="0" fontId="39" fillId="8" borderId="80" xfId="0" applyFont="1" applyFill="1" applyBorder="1" applyAlignment="1">
      <alignment vertical="center"/>
    </xf>
    <xf numFmtId="0" fontId="39" fillId="8" borderId="8" xfId="0" applyFont="1" applyFill="1" applyBorder="1" applyAlignment="1">
      <alignment vertical="center"/>
    </xf>
    <xf numFmtId="0" fontId="39" fillId="8" borderId="20" xfId="0" applyFont="1" applyFill="1" applyBorder="1" applyAlignment="1">
      <alignment vertical="center"/>
    </xf>
    <xf numFmtId="0" fontId="39" fillId="8" borderId="39" xfId="0" applyFont="1" applyFill="1" applyBorder="1" applyAlignment="1">
      <alignment vertical="center"/>
    </xf>
    <xf numFmtId="0" fontId="39" fillId="8" borderId="0" xfId="0" applyFont="1" applyFill="1" applyAlignment="1">
      <alignment vertical="center"/>
    </xf>
    <xf numFmtId="0" fontId="39" fillId="8" borderId="21" xfId="0" applyFont="1" applyFill="1" applyBorder="1" applyAlignment="1">
      <alignment vertical="center"/>
    </xf>
    <xf numFmtId="0" fontId="39" fillId="8" borderId="63" xfId="0" applyFont="1" applyFill="1" applyBorder="1" applyAlignment="1">
      <alignment vertical="center"/>
    </xf>
    <xf numFmtId="0" fontId="39" fillId="8" borderId="59" xfId="0" applyFont="1" applyFill="1" applyBorder="1" applyAlignment="1">
      <alignment vertical="center"/>
    </xf>
    <xf numFmtId="0" fontId="39" fillId="8" borderId="77" xfId="0" applyFont="1" applyFill="1" applyBorder="1" applyAlignment="1">
      <alignment vertical="center"/>
    </xf>
    <xf numFmtId="0" fontId="43" fillId="13" borderId="34" xfId="0" applyFont="1" applyFill="1" applyBorder="1" applyAlignment="1">
      <alignment vertical="center"/>
    </xf>
    <xf numFmtId="0" fontId="43" fillId="13" borderId="9" xfId="0" applyFont="1" applyFill="1" applyBorder="1" applyAlignment="1">
      <alignment vertical="center"/>
    </xf>
    <xf numFmtId="0" fontId="43" fillId="13" borderId="82" xfId="0" applyFont="1" applyFill="1" applyBorder="1" applyAlignment="1">
      <alignment vertical="center"/>
    </xf>
    <xf numFmtId="0" fontId="43" fillId="13" borderId="35" xfId="0" applyFont="1" applyFill="1" applyBorder="1" applyAlignment="1">
      <alignment vertical="center"/>
    </xf>
    <xf numFmtId="0" fontId="43" fillId="13" borderId="0" xfId="0" applyFont="1" applyFill="1" applyAlignment="1">
      <alignment vertical="center"/>
    </xf>
    <xf numFmtId="0" fontId="43" fillId="13" borderId="76" xfId="0" applyFont="1" applyFill="1" applyBorder="1" applyAlignment="1">
      <alignment vertical="center"/>
    </xf>
    <xf numFmtId="0" fontId="43" fillId="13" borderId="78" xfId="0" applyFont="1" applyFill="1" applyBorder="1" applyAlignment="1">
      <alignment vertical="center"/>
    </xf>
    <xf numFmtId="0" fontId="43" fillId="13" borderId="59" xfId="0" applyFont="1" applyFill="1" applyBorder="1" applyAlignment="1">
      <alignment vertical="center"/>
    </xf>
    <xf numFmtId="0" fontId="43" fillId="13" borderId="67" xfId="0" applyFont="1" applyFill="1" applyBorder="1" applyAlignment="1">
      <alignment vertical="center"/>
    </xf>
    <xf numFmtId="0" fontId="8" fillId="3" borderId="0" xfId="0" applyFont="1" applyFill="1"/>
    <xf numFmtId="0" fontId="0" fillId="0" borderId="0" xfId="0"/>
    <xf numFmtId="0" fontId="11" fillId="14" borderId="0" xfId="0" applyFont="1" applyFill="1"/>
    <xf numFmtId="0" fontId="4" fillId="19" borderId="0" xfId="0" applyFont="1" applyFill="1"/>
    <xf numFmtId="0" fontId="9" fillId="54" borderId="0" xfId="0" applyFont="1" applyFill="1"/>
    <xf numFmtId="0" fontId="0" fillId="21" borderId="0" xfId="0" applyFill="1"/>
    <xf numFmtId="0" fontId="1" fillId="7" borderId="0" xfId="0" applyFont="1" applyFill="1"/>
    <xf numFmtId="0" fontId="8" fillId="22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28" borderId="0" xfId="0" applyFont="1" applyFill="1"/>
    <xf numFmtId="0" fontId="14" fillId="30" borderId="0" xfId="0" applyFont="1" applyFill="1"/>
    <xf numFmtId="0" fontId="7" fillId="30" borderId="0" xfId="0" applyFont="1" applyFill="1"/>
    <xf numFmtId="0" fontId="4" fillId="46" borderId="0" xfId="0" applyFont="1" applyFill="1"/>
    <xf numFmtId="0" fontId="8" fillId="31" borderId="0" xfId="0" applyFont="1" applyFill="1"/>
    <xf numFmtId="0" fontId="11" fillId="32" borderId="0" xfId="0" applyFont="1" applyFill="1"/>
    <xf numFmtId="0" fontId="4" fillId="33" borderId="0" xfId="0" applyFont="1" applyFill="1"/>
    <xf numFmtId="0" fontId="4" fillId="36" borderId="0" xfId="0" applyFont="1" applyFill="1"/>
    <xf numFmtId="0" fontId="4" fillId="37" borderId="0" xfId="0" applyFont="1" applyFill="1"/>
    <xf numFmtId="0" fontId="4" fillId="42" borderId="0" xfId="0" applyFont="1" applyFill="1"/>
    <xf numFmtId="0" fontId="8" fillId="50" borderId="0" xfId="0" applyFont="1" applyFill="1"/>
    <xf numFmtId="0" fontId="11" fillId="36" borderId="0" xfId="0" applyFont="1" applyFill="1"/>
    <xf numFmtId="0" fontId="4" fillId="51" borderId="0" xfId="0" applyFont="1" applyFill="1"/>
    <xf numFmtId="0" fontId="6" fillId="0" borderId="0" xfId="0" applyFont="1"/>
    <xf numFmtId="0" fontId="50" fillId="0" borderId="0" xfId="0" applyFont="1"/>
  </cellXfs>
  <cellStyles count="2">
    <cellStyle name="Hyperlink" xfId="1" builtinId="8"/>
    <cellStyle name="Normal" xfId="0" builtinId="0"/>
  </cellStyles>
  <dxfs count="5">
    <dxf>
      <font>
        <color rgb="FFFF6F00"/>
      </font>
      <fill>
        <patternFill patternType="solid">
          <fgColor indexed="64"/>
          <bgColor rgb="FFFFF8E1"/>
        </patternFill>
      </fill>
    </dxf>
    <dxf>
      <font>
        <color rgb="FF8B0000"/>
      </font>
      <fill>
        <patternFill patternType="solid">
          <fgColor indexed="64"/>
          <bgColor rgb="FFFFEBEE"/>
        </patternFill>
      </fill>
    </dxf>
    <dxf>
      <font>
        <color rgb="FF006400"/>
      </font>
      <fill>
        <patternFill patternType="solid">
          <fgColor indexed="64"/>
          <bgColor rgb="FFE8F5E9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4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sheetMetadata" Target="metadata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📈 Revenue Trend (FY18-FY28F)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Dashboard!$B$17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Dashboard!$C$17:$M$17</c:f>
              <c:numCache>
                <c:formatCode>#,##0</c:formatCode>
                <c:ptCount val="11"/>
                <c:pt idx="0">
                  <c:v>123104</c:v>
                </c:pt>
                <c:pt idx="1">
                  <c:v>146463</c:v>
                </c:pt>
                <c:pt idx="2">
                  <c:v>156949</c:v>
                </c:pt>
                <c:pt idx="3">
                  <c:v>164177</c:v>
                </c:pt>
                <c:pt idx="4">
                  <c:v>191754</c:v>
                </c:pt>
                <c:pt idx="5">
                  <c:v>225458</c:v>
                </c:pt>
                <c:pt idx="6">
                  <c:v>240893</c:v>
                </c:pt>
                <c:pt idx="7">
                  <c:v>255324</c:v>
                </c:pt>
                <c:pt idx="8">
                  <c:v>265536.96000000002</c:v>
                </c:pt>
                <c:pt idx="9">
                  <c:v>277486.12320000003</c:v>
                </c:pt>
                <c:pt idx="10">
                  <c:v>291360.42936000007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D3-4A31-878B-0D12D3147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600368"/>
        <c:axId val="1641596528"/>
      </c:lineChart>
      <c:catAx>
        <c:axId val="164160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1596528"/>
        <c:crosses val="autoZero"/>
        <c:auto val="1"/>
        <c:lblAlgn val="ctr"/>
        <c:lblOffset val="100"/>
        <c:noMultiLvlLbl val="0"/>
      </c:catAx>
      <c:valAx>
        <c:axId val="164159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Revenue (₹ Cr)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1600368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📊 Net Profit Growth (FY18-FY28F)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Dashboard!$B$18</c:f>
              <c:strCache>
                <c:ptCount val="1"/>
                <c:pt idx="0">
                  <c:v>Net Profit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Dashboard!$C$18:$M$18</c:f>
              <c:numCache>
                <c:formatCode>#,##0</c:formatCode>
                <c:ptCount val="11"/>
                <c:pt idx="0">
                  <c:v>25826</c:v>
                </c:pt>
                <c:pt idx="1">
                  <c:v>31472</c:v>
                </c:pt>
                <c:pt idx="2">
                  <c:v>32340</c:v>
                </c:pt>
                <c:pt idx="3">
                  <c:v>32562</c:v>
                </c:pt>
                <c:pt idx="4">
                  <c:v>38449</c:v>
                </c:pt>
                <c:pt idx="5">
                  <c:v>42303</c:v>
                </c:pt>
                <c:pt idx="6">
                  <c:v>46099</c:v>
                </c:pt>
                <c:pt idx="7">
                  <c:v>48797</c:v>
                </c:pt>
                <c:pt idx="8">
                  <c:v>45783.882643200006</c:v>
                </c:pt>
                <c:pt idx="9">
                  <c:v>48254.836824480008</c:v>
                </c:pt>
                <c:pt idx="10">
                  <c:v>51314.398818883215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D-4B85-B267-CB2C08702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1593168"/>
        <c:axId val="1641598448"/>
      </c:areaChart>
      <c:catAx>
        <c:axId val="164159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1598448"/>
        <c:crosses val="autoZero"/>
        <c:auto val="1"/>
        <c:lblAlgn val="ctr"/>
        <c:lblOffset val="100"/>
        <c:noMultiLvlLbl val="0"/>
      </c:catAx>
      <c:valAx>
        <c:axId val="164159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Net Profit (₹ Cr)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1593168"/>
        <c:crosses val="autoZero"/>
        <c:crossBetween val="midCat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💰 EPS Performance (₹)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Dashboard!$B$19</c:f>
              <c:strCache>
                <c:ptCount val="1"/>
                <c:pt idx="0">
                  <c:v>EPS (₹)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Dashboard!$C$19:$M$19</c:f>
              <c:numCache>
                <c:formatCode>#,##0</c:formatCode>
                <c:ptCount val="11"/>
                <c:pt idx="0">
                  <c:v>67.099999999999994</c:v>
                </c:pt>
                <c:pt idx="1">
                  <c:v>83.05</c:v>
                </c:pt>
                <c:pt idx="2">
                  <c:v>85.5</c:v>
                </c:pt>
                <c:pt idx="3">
                  <c:v>87.67</c:v>
                </c:pt>
                <c:pt idx="4">
                  <c:v>104.75</c:v>
                </c:pt>
                <c:pt idx="5">
                  <c:v>115.19</c:v>
                </c:pt>
                <c:pt idx="6">
                  <c:v>126.88</c:v>
                </c:pt>
                <c:pt idx="7">
                  <c:v>134.19999999999999</c:v>
                </c:pt>
                <c:pt idx="8">
                  <c:v>126.47481393149172</c:v>
                </c:pt>
                <c:pt idx="9">
                  <c:v>133.30065421127074</c:v>
                </c:pt>
                <c:pt idx="10">
                  <c:v>141.75248292509175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3-4456-8F75-D5A50918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1594128"/>
        <c:axId val="1089508143"/>
      </c:barChart>
      <c:catAx>
        <c:axId val="164159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508143"/>
        <c:crosses val="autoZero"/>
        <c:auto val="1"/>
        <c:lblAlgn val="ctr"/>
        <c:lblOffset val="100"/>
        <c:noMultiLvlLbl val="0"/>
      </c:catAx>
      <c:valAx>
        <c:axId val="1089508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EPS (₹)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1594128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📈 EBITDA Analysis (₹ Cr)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Dashboard!$B$20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Dashboard!$C$20:$M$20</c:f>
              <c:numCache>
                <c:formatCode>#,##0</c:formatCode>
                <c:ptCount val="11"/>
                <c:pt idx="0">
                  <c:v>33800</c:v>
                </c:pt>
                <c:pt idx="1">
                  <c:v>37450</c:v>
                </c:pt>
                <c:pt idx="2">
                  <c:v>40520</c:v>
                </c:pt>
                <c:pt idx="3">
                  <c:v>49680</c:v>
                </c:pt>
                <c:pt idx="4">
                  <c:v>57075</c:v>
                </c:pt>
                <c:pt idx="5">
                  <c:v>62708</c:v>
                </c:pt>
                <c:pt idx="6">
                  <c:v>68718</c:v>
                </c:pt>
                <c:pt idx="7">
                  <c:v>71369</c:v>
                </c:pt>
                <c:pt idx="8">
                  <c:v>67711.924800000008</c:v>
                </c:pt>
                <c:pt idx="9">
                  <c:v>71313.933662400013</c:v>
                </c:pt>
                <c:pt idx="10">
                  <c:v>75753.711633600018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36-4CEF-8E42-C7EE9AEC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5706303"/>
        <c:axId val="1085701023"/>
      </c:barChart>
      <c:catAx>
        <c:axId val="1085706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701023"/>
        <c:crosses val="autoZero"/>
        <c:auto val="1"/>
        <c:lblAlgn val="ctr"/>
        <c:lblOffset val="100"/>
        <c:noMultiLvlLbl val="0"/>
      </c:catAx>
      <c:valAx>
        <c:axId val="1085701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EBITDA (₹ Cr)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706303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📊 Net Profit Margin % Trend (FY18-FY28F)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6"/>
          <c:order val="0"/>
          <c:tx>
            <c:strRef>
              <c:f>Dashboard!$B$23</c:f>
              <c:strCache>
                <c:ptCount val="1"/>
                <c:pt idx="0">
                  <c:v>Net Profit Margin %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Dashboard!$C$23:$M$23</c:f>
              <c:numCache>
                <c:formatCode>0.0%</c:formatCode>
                <c:ptCount val="11"/>
                <c:pt idx="0">
                  <c:v>0.20979009617884065</c:v>
                </c:pt>
                <c:pt idx="1">
                  <c:v>0.21488020865338003</c:v>
                </c:pt>
                <c:pt idx="2">
                  <c:v>0.20605419594900254</c:v>
                </c:pt>
                <c:pt idx="3">
                  <c:v>0.19833472410873632</c:v>
                </c:pt>
                <c:pt idx="4">
                  <c:v>0.20051211448001086</c:v>
                </c:pt>
                <c:pt idx="5">
                  <c:v>0.18763139919630265</c:v>
                </c:pt>
                <c:pt idx="6">
                  <c:v>0.19136712150207769</c:v>
                </c:pt>
                <c:pt idx="7">
                  <c:v>0.19111795209224358</c:v>
                </c:pt>
                <c:pt idx="8">
                  <c:v>0.17242000000000002</c:v>
                </c:pt>
                <c:pt idx="9">
                  <c:v>0.1739</c:v>
                </c:pt>
                <c:pt idx="10">
                  <c:v>0.17612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A58-4E63-BE80-EE951778A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90895"/>
        <c:axId val="1733994255"/>
      </c:lineChart>
      <c:catAx>
        <c:axId val="1733990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94255"/>
        <c:crosses val="autoZero"/>
        <c:auto val="1"/>
        <c:lblAlgn val="ctr"/>
        <c:lblOffset val="100"/>
        <c:noMultiLvlLbl val="0"/>
      </c:catAx>
      <c:valAx>
        <c:axId val="1733994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Margin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90895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📊 Revenue vs Net Profit (₹ Cr)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Dashboard!$B$17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Dashboard!$C$17:$M$17</c:f>
              <c:numCache>
                <c:formatCode>#,##0</c:formatCode>
                <c:ptCount val="11"/>
                <c:pt idx="0">
                  <c:v>123104</c:v>
                </c:pt>
                <c:pt idx="1">
                  <c:v>146463</c:v>
                </c:pt>
                <c:pt idx="2">
                  <c:v>156949</c:v>
                </c:pt>
                <c:pt idx="3">
                  <c:v>164177</c:v>
                </c:pt>
                <c:pt idx="4">
                  <c:v>191754</c:v>
                </c:pt>
                <c:pt idx="5">
                  <c:v>225458</c:v>
                </c:pt>
                <c:pt idx="6">
                  <c:v>240893</c:v>
                </c:pt>
                <c:pt idx="7">
                  <c:v>255324</c:v>
                </c:pt>
                <c:pt idx="8">
                  <c:v>265536.96000000002</c:v>
                </c:pt>
                <c:pt idx="9">
                  <c:v>277486.12320000003</c:v>
                </c:pt>
                <c:pt idx="10">
                  <c:v>291360.42936000007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0-4260-962A-C15DD3A9B64F}"/>
            </c:ext>
          </c:extLst>
        </c:ser>
        <c:ser>
          <c:idx val="1"/>
          <c:order val="1"/>
          <c:tx>
            <c:strRef>
              <c:f>Dashboard!$B$18</c:f>
              <c:strCache>
                <c:ptCount val="1"/>
                <c:pt idx="0">
                  <c:v>Net Profit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Dashboard!$C$18:$M$18</c:f>
              <c:numCache>
                <c:formatCode>#,##0</c:formatCode>
                <c:ptCount val="11"/>
                <c:pt idx="0">
                  <c:v>25826</c:v>
                </c:pt>
                <c:pt idx="1">
                  <c:v>31472</c:v>
                </c:pt>
                <c:pt idx="2">
                  <c:v>32340</c:v>
                </c:pt>
                <c:pt idx="3">
                  <c:v>32562</c:v>
                </c:pt>
                <c:pt idx="4">
                  <c:v>38449</c:v>
                </c:pt>
                <c:pt idx="5">
                  <c:v>42303</c:v>
                </c:pt>
                <c:pt idx="6">
                  <c:v>46099</c:v>
                </c:pt>
                <c:pt idx="7">
                  <c:v>48797</c:v>
                </c:pt>
                <c:pt idx="8">
                  <c:v>45783.882643200006</c:v>
                </c:pt>
                <c:pt idx="9">
                  <c:v>48254.836824480008</c:v>
                </c:pt>
                <c:pt idx="10">
                  <c:v>51314.398818883215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90-4260-962A-C15DD3A9B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3988495"/>
        <c:axId val="1733987535"/>
      </c:barChart>
      <c:catAx>
        <c:axId val="1733988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87535"/>
        <c:crosses val="autoZero"/>
        <c:auto val="1"/>
        <c:lblAlgn val="ctr"/>
        <c:lblOffset val="100"/>
        <c:noMultiLvlLbl val="0"/>
      </c:catAx>
      <c:valAx>
        <c:axId val="1733987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Amount (₹ Cr)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88495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US"/>
              <a:t>📈 EPS Growth Trend (₹)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2"/>
          <c:order val="0"/>
          <c:tx>
            <c:strRef>
              <c:f>Dashboard!$B$19</c:f>
              <c:strCache>
                <c:ptCount val="1"/>
                <c:pt idx="0">
                  <c:v>EPS (₹)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Dashboard!$C$19:$M$19</c:f>
              <c:numCache>
                <c:formatCode>#,##0</c:formatCode>
                <c:ptCount val="11"/>
                <c:pt idx="0">
                  <c:v>67.099999999999994</c:v>
                </c:pt>
                <c:pt idx="1">
                  <c:v>83.05</c:v>
                </c:pt>
                <c:pt idx="2">
                  <c:v>85.5</c:v>
                </c:pt>
                <c:pt idx="3">
                  <c:v>87.67</c:v>
                </c:pt>
                <c:pt idx="4">
                  <c:v>104.75</c:v>
                </c:pt>
                <c:pt idx="5">
                  <c:v>115.19</c:v>
                </c:pt>
                <c:pt idx="6">
                  <c:v>126.88</c:v>
                </c:pt>
                <c:pt idx="7">
                  <c:v>134.19999999999999</c:v>
                </c:pt>
                <c:pt idx="8">
                  <c:v>126.47481393149172</c:v>
                </c:pt>
                <c:pt idx="9">
                  <c:v>133.30065421127074</c:v>
                </c:pt>
                <c:pt idx="10">
                  <c:v>141.75248292509175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53-485D-9276-39BD2AB7A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192927"/>
        <c:axId val="446193407"/>
      </c:areaChart>
      <c:catAx>
        <c:axId val="4461929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193407"/>
        <c:crosses val="autoZero"/>
        <c:auto val="1"/>
        <c:lblAlgn val="ctr"/>
        <c:lblOffset val="100"/>
        <c:noMultiLvlLbl val="0"/>
      </c:catAx>
      <c:valAx>
        <c:axId val="446193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EPS (₹)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6192927"/>
        <c:crosses val="autoZero"/>
        <c:crossBetween val="midCat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B3A5F"/>
                </a:solidFill>
                <a:latin typeface="Segoe UI"/>
                <a:ea typeface="Segoe UI"/>
                <a:cs typeface="Segoe UI"/>
              </a:defRPr>
            </a:pPr>
            <a:r>
              <a:rPr lang="en-IN"/>
              <a:t>📊 FCF vs Net Profit (₹ Cr)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B3A5F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Dashboard!$B$18</c:f>
              <c:strCache>
                <c:ptCount val="1"/>
                <c:pt idx="0">
                  <c:v>Net Profit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Dashboard!$C$18:$M$18</c:f>
              <c:numCache>
                <c:formatCode>#,##0</c:formatCode>
                <c:ptCount val="11"/>
                <c:pt idx="0">
                  <c:v>25826</c:v>
                </c:pt>
                <c:pt idx="1">
                  <c:v>31472</c:v>
                </c:pt>
                <c:pt idx="2">
                  <c:v>32340</c:v>
                </c:pt>
                <c:pt idx="3">
                  <c:v>32562</c:v>
                </c:pt>
                <c:pt idx="4">
                  <c:v>38449</c:v>
                </c:pt>
                <c:pt idx="5">
                  <c:v>42303</c:v>
                </c:pt>
                <c:pt idx="6">
                  <c:v>46099</c:v>
                </c:pt>
                <c:pt idx="7">
                  <c:v>48797</c:v>
                </c:pt>
                <c:pt idx="8">
                  <c:v>45783.882643200006</c:v>
                </c:pt>
                <c:pt idx="9">
                  <c:v>48254.836824480008</c:v>
                </c:pt>
                <c:pt idx="10">
                  <c:v>51314.398818883215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9-49D8-A8DC-F7E4D5E1B9BB}"/>
            </c:ext>
          </c:extLst>
        </c:ser>
        <c:ser>
          <c:idx val="4"/>
          <c:order val="1"/>
          <c:tx>
            <c:strRef>
              <c:f>Dashboard!$B$21</c:f>
              <c:strCache>
                <c:ptCount val="1"/>
                <c:pt idx="0">
                  <c:v>Free Cash Flow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Dashboard!$C$16:$M$16</c:f>
              <c:strCache>
                <c:ptCount val="11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FY26F</c:v>
                </c:pt>
                <c:pt idx="9">
                  <c:v>FY27F</c:v>
                </c:pt>
                <c:pt idx="10">
                  <c:v>FY28F</c:v>
                </c:pt>
              </c:strCache>
            </c:strRef>
          </c:cat>
          <c:val>
            <c:numRef>
              <c:f>Dashboard!$C$21:$M$21</c:f>
              <c:numCache>
                <c:formatCode>#,##0</c:formatCode>
                <c:ptCount val="11"/>
                <c:pt idx="0">
                  <c:v>23424</c:v>
                </c:pt>
                <c:pt idx="1">
                  <c:v>29759</c:v>
                </c:pt>
                <c:pt idx="2">
                  <c:v>31197</c:v>
                </c:pt>
                <c:pt idx="3">
                  <c:v>31373</c:v>
                </c:pt>
                <c:pt idx="4">
                  <c:v>37497</c:v>
                </c:pt>
                <c:pt idx="5">
                  <c:v>40997</c:v>
                </c:pt>
                <c:pt idx="6">
                  <c:v>45227</c:v>
                </c:pt>
                <c:pt idx="7">
                  <c:v>47776</c:v>
                </c:pt>
                <c:pt idx="8">
                  <c:v>44987.271763200006</c:v>
                </c:pt>
                <c:pt idx="9">
                  <c:v>47422.378454880003</c:v>
                </c:pt>
                <c:pt idx="10">
                  <c:v>50440.317530803215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79-49D8-A8DC-F7E4D5E1B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0405711"/>
        <c:axId val="1730406671"/>
      </c:barChart>
      <c:catAx>
        <c:axId val="1730405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0406671"/>
        <c:crosses val="autoZero"/>
        <c:auto val="1"/>
        <c:lblAlgn val="ctr"/>
        <c:lblOffset val="100"/>
        <c:noMultiLvlLbl val="0"/>
      </c:catAx>
      <c:valAx>
        <c:axId val="1730406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Amount (₹ Cr)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1F4E79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666666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33333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0405711"/>
        <c:crosses val="autoZero"/>
        <c:crossBetween val="between"/>
      </c:valAx>
      <c:spPr>
        <a:solidFill>
          <a:srgbClr val="FAFAFA"/>
        </a:solidFill>
        <a:ln>
          <a:solidFill>
            <a:srgbClr val="E0E0E0"/>
          </a:solidFill>
          <a:prstDash val="solid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95057"/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solidFill>
        <a:srgbClr val="E0E0E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63500</xdr:rowOff>
    </xdr:from>
    <xdr:to>
      <xdr:col>3</xdr:col>
      <xdr:colOff>1465580</xdr:colOff>
      <xdr:row>29</xdr:row>
      <xdr:rowOff>523240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EE067DE2-EAC0-E762-CB74-DC13905190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26</xdr:row>
      <xdr:rowOff>63500</xdr:rowOff>
    </xdr:from>
    <xdr:to>
      <xdr:col>10</xdr:col>
      <xdr:colOff>627380</xdr:colOff>
      <xdr:row>29</xdr:row>
      <xdr:rowOff>523240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DFADC96B-A669-5460-04B4-E1DE4716A7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31</xdr:row>
      <xdr:rowOff>63500</xdr:rowOff>
    </xdr:from>
    <xdr:to>
      <xdr:col>3</xdr:col>
      <xdr:colOff>1465580</xdr:colOff>
      <xdr:row>35</xdr:row>
      <xdr:rowOff>317500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76F81B47-BB0B-BCB5-8C94-C6C09BD50B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31</xdr:row>
      <xdr:rowOff>63500</xdr:rowOff>
    </xdr:from>
    <xdr:to>
      <xdr:col>10</xdr:col>
      <xdr:colOff>627380</xdr:colOff>
      <xdr:row>35</xdr:row>
      <xdr:rowOff>317500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2DF02E6F-84C8-8C57-5B4A-38AE06E97E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40</xdr:row>
      <xdr:rowOff>63500</xdr:rowOff>
    </xdr:from>
    <xdr:to>
      <xdr:col>3</xdr:col>
      <xdr:colOff>1465580</xdr:colOff>
      <xdr:row>51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C4CB3C-5230-4627-C2BD-CDD073803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40</xdr:row>
      <xdr:rowOff>63500</xdr:rowOff>
    </xdr:from>
    <xdr:to>
      <xdr:col>10</xdr:col>
      <xdr:colOff>627380</xdr:colOff>
      <xdr:row>51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511E4F-E561-596A-6795-7C0E2014CA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33020</xdr:colOff>
      <xdr:row>55</xdr:row>
      <xdr:rowOff>0</xdr:rowOff>
    </xdr:from>
    <xdr:to>
      <xdr:col>3</xdr:col>
      <xdr:colOff>1498600</xdr:colOff>
      <xdr:row>66</xdr:row>
      <xdr:rowOff>25400</xdr:rowOff>
    </xdr:to>
    <xdr:graphicFrame macro="">
      <xdr:nvGraphicFramePr>
        <xdr:cNvPr id="4" name="Chart EPS Trend">
          <a:extLst>
            <a:ext uri="{FF2B5EF4-FFF2-40B4-BE49-F238E27FC236}">
              <a16:creationId xmlns:a16="http://schemas.microsoft.com/office/drawing/2014/main" id="{D263F2E8-C569-E73E-96F0-490AA3D581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11006</xdr:colOff>
      <xdr:row>55</xdr:row>
      <xdr:rowOff>217714</xdr:rowOff>
    </xdr:from>
    <xdr:to>
      <xdr:col>10</xdr:col>
      <xdr:colOff>642499</xdr:colOff>
      <xdr:row>67</xdr:row>
      <xdr:rowOff>13304</xdr:rowOff>
    </xdr:to>
    <xdr:graphicFrame macro="">
      <xdr:nvGraphicFramePr>
        <xdr:cNvPr id="5" name="Chart FCF vs NP">
          <a:extLst>
            <a:ext uri="{FF2B5EF4-FFF2-40B4-BE49-F238E27FC236}">
              <a16:creationId xmlns:a16="http://schemas.microsoft.com/office/drawing/2014/main" id="{4E605D04-DA38-10AF-0953-1493037944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7">
    <wetp:webextensionref xmlns:r="http://schemas.openxmlformats.org/officeDocument/2006/relationships" r:id="rId1"/>
  </wetp:taskpane>
  <wetp:taskpane dockstate="right" visibility="0" width="438" row="8">
    <wetp:webextensionref xmlns:r="http://schemas.openxmlformats.org/officeDocument/2006/relationships" r:id="rId2"/>
  </wetp:taskpane>
  <wetp:taskpane dockstate="right" visibility="0" width="438" row="5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D793E747-849A-4C0A-92C8-013665E0A845}">
  <we:reference id="WA200010215" version="1.0.0.0" store="Omex" storeType="OMEX"/>
  <we:alternateReferences>
    <we:reference id="WA200010215" version="1.0.0.0" store="WA200010215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57166F8-5A05-4C00-8C1D-A9B943826D6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5cff66d-ebc4-4583-9f2d-42b99d5e11e8&quot;"/>
  </we:properties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84101B32-803F-4AE4-90B3-5F5CF8B91C27}">
  <we:reference id="WA200008745" version="1.0.0.0" store="Omex" storeType="OMEX"/>
  <we:alternateReferences>
    <we:reference id="WA200008745" version="1.0.0.0" store="WA20000874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cs.com/investor-relations/financial-reports/annual-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5F3B1-01E6-4ABE-9A6B-4944AF10276A}">
  <dimension ref="A1:N90"/>
  <sheetViews>
    <sheetView tabSelected="1" zoomScale="96" zoomScaleNormal="96" workbookViewId="0">
      <pane ySplit="3" topLeftCell="A4" activePane="bottomLeft" state="frozen"/>
      <selection activeCell="C1" sqref="C1"/>
      <selection pane="bottomLeft" activeCell="C5" sqref="C5"/>
    </sheetView>
  </sheetViews>
  <sheetFormatPr defaultRowHeight="14.4" x14ac:dyDescent="0.3"/>
  <cols>
    <col min="1" max="1" width="2.77734375" customWidth="1"/>
    <col min="2" max="2" width="39.77734375" customWidth="1"/>
    <col min="3" max="3" width="31.109375" customWidth="1"/>
    <col min="4" max="4" width="30" customWidth="1"/>
    <col min="5" max="5" width="20" customWidth="1"/>
    <col min="6" max="6" width="24.109375" customWidth="1"/>
    <col min="7" max="7" width="16.6640625" customWidth="1"/>
    <col min="8" max="10" width="14.77734375" customWidth="1"/>
    <col min="11" max="11" width="12" customWidth="1"/>
    <col min="12" max="12" width="28.33203125" customWidth="1"/>
    <col min="13" max="13" width="15.77734375" customWidth="1"/>
    <col min="14" max="14" width="2.77734375" customWidth="1"/>
  </cols>
  <sheetData>
    <row r="1" spans="1:14" ht="34.950000000000003" customHeight="1" x14ac:dyDescent="0.3">
      <c r="A1" s="92"/>
      <c r="B1" s="175" t="e" vm="1">
        <v>#VALUE!</v>
      </c>
      <c r="C1" s="105" t="s">
        <v>367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92"/>
    </row>
    <row r="2" spans="1:14" ht="22.2" customHeight="1" x14ac:dyDescent="0.3">
      <c r="A2" s="92"/>
      <c r="B2" s="183" t="s">
        <v>160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92"/>
    </row>
    <row r="3" spans="1:14" ht="10.199999999999999" customHeight="1" thickBot="1" x14ac:dyDescent="0.35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2"/>
    </row>
    <row r="4" spans="1:14" ht="28.2" customHeight="1" thickBot="1" x14ac:dyDescent="0.35">
      <c r="A4" s="92"/>
      <c r="B4" s="189" t="s">
        <v>161</v>
      </c>
      <c r="C4" s="190"/>
      <c r="D4" s="191"/>
      <c r="E4" s="93"/>
      <c r="F4" s="197" t="str">
        <f>"📈 KPI DASHBOARD ("&amp;Assumptions!C5&amp;" Case) - All Values Dynamic"</f>
        <v>📈 KPI DASHBOARD (Bear Case) - All Values Dynamic</v>
      </c>
      <c r="G4" s="198"/>
      <c r="H4" s="198"/>
      <c r="I4" s="198"/>
      <c r="J4" s="198"/>
      <c r="K4" s="198"/>
      <c r="L4" s="198"/>
      <c r="M4" s="199"/>
      <c r="N4" s="156"/>
    </row>
    <row r="5" spans="1:14" ht="22.2" customHeight="1" x14ac:dyDescent="0.3">
      <c r="A5" s="92"/>
      <c r="B5" s="128" t="s">
        <v>364</v>
      </c>
      <c r="C5" s="115" t="s">
        <v>384</v>
      </c>
      <c r="D5" s="131"/>
      <c r="E5" s="93"/>
      <c r="F5" s="136" t="s">
        <v>21</v>
      </c>
      <c r="G5" s="106" t="s">
        <v>236</v>
      </c>
      <c r="H5" s="106" t="s">
        <v>177</v>
      </c>
      <c r="I5" s="106" t="s">
        <v>178</v>
      </c>
      <c r="J5" s="106" t="s">
        <v>179</v>
      </c>
      <c r="K5" s="159" t="s">
        <v>337</v>
      </c>
      <c r="L5" s="160" t="s">
        <v>346</v>
      </c>
      <c r="M5" s="161" t="s">
        <v>46</v>
      </c>
      <c r="N5" s="157"/>
    </row>
    <row r="6" spans="1:14" ht="22.2" customHeight="1" x14ac:dyDescent="0.3">
      <c r="A6" s="92"/>
      <c r="B6" s="128" t="s">
        <v>365</v>
      </c>
      <c r="C6" s="116">
        <v>0</v>
      </c>
      <c r="D6" s="132" t="s">
        <v>301</v>
      </c>
      <c r="E6" s="93"/>
      <c r="F6" s="153" t="s">
        <v>338</v>
      </c>
      <c r="G6" s="107">
        <f>Forecast_Model!C13</f>
        <v>255324</v>
      </c>
      <c r="H6" s="107">
        <f>Forecast_Model!D13</f>
        <v>265536.96000000002</v>
      </c>
      <c r="I6" s="107">
        <f>Forecast_Model!E13</f>
        <v>277486.12320000003</v>
      </c>
      <c r="J6" s="107">
        <f>Forecast_Model!F13</f>
        <v>291360.42936000007</v>
      </c>
      <c r="K6" s="108">
        <f>(J6/G6)^(1/3)-1</f>
        <v>4.4992025457486706E-2</v>
      </c>
      <c r="L6" s="109" t="str">
        <f t="shared" ref="L6:L13" si="0">IF(J6&gt;G6,"📈 ↑",IF(J6&lt;G6,"📉 ↓","➡️ →"))</f>
        <v>📈 ↑</v>
      </c>
      <c r="M6" s="137" t="str">
        <f>IF(K6&gt;0.05,"🟢 Strong",IF(K6&gt;0,"🟡 Moderate","🔴 Weak"))</f>
        <v>🟡 Moderate</v>
      </c>
      <c r="N6" s="158"/>
    </row>
    <row r="7" spans="1:14" ht="22.2" customHeight="1" x14ac:dyDescent="0.3">
      <c r="A7" s="92"/>
      <c r="B7" s="129" t="s">
        <v>366</v>
      </c>
      <c r="C7" s="210" t="str">
        <f>IF(C6&lt;&gt;0,"🟠 CUSTOM ("&amp;TEXT(C6,"0.0%")&amp;")",IF(C5="Bull","🟢 Bull Case",IF(C5="Bear","🟢 Bear Case","🟢 Base Case")))</f>
        <v>🟢 Bear Case</v>
      </c>
      <c r="D7" s="211"/>
      <c r="E7" s="93"/>
      <c r="F7" s="154" t="s">
        <v>339</v>
      </c>
      <c r="G7" s="94">
        <f>Forecast_Model!C20</f>
        <v>48797</v>
      </c>
      <c r="H7" s="94">
        <f>Forecast_Model!D20</f>
        <v>45783.882643200006</v>
      </c>
      <c r="I7" s="94">
        <f>Forecast_Model!E20</f>
        <v>48254.836824480008</v>
      </c>
      <c r="J7" s="94">
        <f>Forecast_Model!F20</f>
        <v>51314.398818883215</v>
      </c>
      <c r="K7" s="95">
        <f>(J7/G7)^(1/3)-1</f>
        <v>1.6908882497605138E-2</v>
      </c>
      <c r="L7" s="96" t="str">
        <f t="shared" si="0"/>
        <v>📈 ↑</v>
      </c>
      <c r="M7" s="138" t="str">
        <f>IF(K7&gt;0.05,"🟢 Strong",IF(K7&gt;0,"🟡 Moderate","🔴 Weak"))</f>
        <v>🟡 Moderate</v>
      </c>
      <c r="N7" s="158"/>
    </row>
    <row r="8" spans="1:14" ht="22.2" customHeight="1" x14ac:dyDescent="0.3">
      <c r="A8" s="92"/>
      <c r="B8" s="130"/>
      <c r="C8" s="114"/>
      <c r="D8" s="132"/>
      <c r="E8" s="93"/>
      <c r="F8" s="153" t="s">
        <v>340</v>
      </c>
      <c r="G8" s="110">
        <f>Forecast_Model!C22</f>
        <v>134.19999999999999</v>
      </c>
      <c r="H8" s="110">
        <f>Forecast_Model!D22</f>
        <v>126.47481393149172</v>
      </c>
      <c r="I8" s="110">
        <f>Forecast_Model!E22</f>
        <v>133.30065421127074</v>
      </c>
      <c r="J8" s="110">
        <f>Forecast_Model!F22</f>
        <v>141.75248292509175</v>
      </c>
      <c r="K8" s="108">
        <f>(J8/G8)^(1/3)-1</f>
        <v>1.8417967911943389E-2</v>
      </c>
      <c r="L8" s="109" t="str">
        <f t="shared" si="0"/>
        <v>📈 ↑</v>
      </c>
      <c r="M8" s="137" t="str">
        <f>IF(K8&gt;0.05,"🟢 Strong",IF(K8&gt;0,"🟡 Moderate","🔴 Weak"))</f>
        <v>🟡 Moderate</v>
      </c>
      <c r="N8" s="158"/>
    </row>
    <row r="9" spans="1:14" ht="22.2" customHeight="1" thickBot="1" x14ac:dyDescent="0.35">
      <c r="A9" s="92"/>
      <c r="B9" s="212" t="s">
        <v>303</v>
      </c>
      <c r="C9" s="213"/>
      <c r="D9" s="214"/>
      <c r="E9" s="93"/>
      <c r="F9" s="154" t="s">
        <v>341</v>
      </c>
      <c r="G9" s="94">
        <f>Forecast_Model!C15</f>
        <v>71369</v>
      </c>
      <c r="H9" s="94">
        <f>Forecast_Model!D15</f>
        <v>67711.924800000008</v>
      </c>
      <c r="I9" s="94">
        <f>Forecast_Model!E15</f>
        <v>71313.933662400013</v>
      </c>
      <c r="J9" s="94">
        <f>Forecast_Model!F15</f>
        <v>75753.711633600018</v>
      </c>
      <c r="K9" s="95">
        <f>(J9/G9)^(1/3)-1</f>
        <v>2.0073428488183831E-2</v>
      </c>
      <c r="L9" s="96" t="str">
        <f t="shared" si="0"/>
        <v>📈 ↑</v>
      </c>
      <c r="M9" s="138" t="str">
        <f>IF(K9&gt;0.05,"🟢 Strong",IF(K9&gt;0,"🟡 Moderate","🔴 Weak"))</f>
        <v>🟡 Moderate</v>
      </c>
      <c r="N9" s="158"/>
    </row>
    <row r="10" spans="1:14" ht="22.2" customHeight="1" x14ac:dyDescent="0.3">
      <c r="A10" s="92"/>
      <c r="B10" s="103"/>
      <c r="C10" s="93"/>
      <c r="D10" s="93"/>
      <c r="E10" s="93"/>
      <c r="F10" s="153" t="s">
        <v>342</v>
      </c>
      <c r="G10" s="107">
        <f>Forecast_Model!C29</f>
        <v>47776</v>
      </c>
      <c r="H10" s="107">
        <f>Forecast_Model!D29</f>
        <v>44987.271763200006</v>
      </c>
      <c r="I10" s="107">
        <f>Forecast_Model!E29</f>
        <v>47422.378454880003</v>
      </c>
      <c r="J10" s="107">
        <f>Forecast_Model!F29</f>
        <v>50440.317530803215</v>
      </c>
      <c r="K10" s="108">
        <f>(J10/G10)^(1/3)-1</f>
        <v>1.8253727582180579E-2</v>
      </c>
      <c r="L10" s="109" t="str">
        <f t="shared" si="0"/>
        <v>📈 ↑</v>
      </c>
      <c r="M10" s="137" t="str">
        <f>IF(K10&gt;0.05,"🟢 Strong",IF(K10&gt;0,"🟡 Moderate","🔴 Weak"))</f>
        <v>🟡 Moderate</v>
      </c>
      <c r="N10" s="158"/>
    </row>
    <row r="11" spans="1:14" ht="22.2" customHeight="1" x14ac:dyDescent="0.3">
      <c r="A11" s="92"/>
      <c r="B11" s="103"/>
      <c r="C11" s="93"/>
      <c r="D11" s="93"/>
      <c r="E11" s="93"/>
      <c r="F11" s="154" t="s">
        <v>343</v>
      </c>
      <c r="G11" s="97">
        <f>Forecast_Model!C16</f>
        <v>0.27952327239115793</v>
      </c>
      <c r="H11" s="97">
        <f>Forecast_Model!D16</f>
        <v>0.255</v>
      </c>
      <c r="I11" s="97">
        <f>Forecast_Model!E16</f>
        <v>0.25700000000000001</v>
      </c>
      <c r="J11" s="97">
        <f>Forecast_Model!F16</f>
        <v>0.26</v>
      </c>
      <c r="K11" s="98">
        <f>J11-G11</f>
        <v>-1.952327239115792E-2</v>
      </c>
      <c r="L11" s="99" t="str">
        <f t="shared" si="0"/>
        <v>📉 ↓</v>
      </c>
      <c r="M11" s="139" t="str">
        <f>IF(K11&gt;0,"🟢 Expanding",IF(K11=0,"🟡 Stable","🔴 Contracting"))</f>
        <v>🔴 Contracting</v>
      </c>
      <c r="N11" s="158"/>
    </row>
    <row r="12" spans="1:14" ht="22.2" customHeight="1" x14ac:dyDescent="0.3">
      <c r="A12" s="92"/>
      <c r="B12" s="103"/>
      <c r="C12" s="93"/>
      <c r="D12" s="93"/>
      <c r="E12" s="93"/>
      <c r="F12" s="153" t="s">
        <v>344</v>
      </c>
      <c r="G12" s="111">
        <f>Forecast_Model!C21</f>
        <v>0.19111795209224358</v>
      </c>
      <c r="H12" s="111">
        <f>Forecast_Model!D21</f>
        <v>0.17242000000000002</v>
      </c>
      <c r="I12" s="111">
        <f>Forecast_Model!E21</f>
        <v>0.1739</v>
      </c>
      <c r="J12" s="111">
        <f>Forecast_Model!F21</f>
        <v>0.17612</v>
      </c>
      <c r="K12" s="112">
        <f>J12-G12</f>
        <v>-1.4997952092243583E-2</v>
      </c>
      <c r="L12" s="113" t="str">
        <f t="shared" si="0"/>
        <v>📉 ↓</v>
      </c>
      <c r="M12" s="140" t="str">
        <f>IF(K12&gt;0,"🟢 Expanding",IF(K12=0,"🟡 Stable","🔴 Contracting"))</f>
        <v>🔴 Contracting</v>
      </c>
      <c r="N12" s="158"/>
    </row>
    <row r="13" spans="1:14" ht="22.2" customHeight="1" thickBot="1" x14ac:dyDescent="0.35">
      <c r="A13" s="92"/>
      <c r="B13" s="103"/>
      <c r="C13" s="93"/>
      <c r="D13" s="93"/>
      <c r="E13" s="93"/>
      <c r="F13" s="155" t="s">
        <v>345</v>
      </c>
      <c r="G13" s="133">
        <f>Forecast_Model!C14</f>
        <v>5.9906265437351856E-2</v>
      </c>
      <c r="H13" s="133">
        <f>Forecast_Model!D14</f>
        <v>0.04</v>
      </c>
      <c r="I13" s="133">
        <f>Forecast_Model!E14</f>
        <v>4.4999999999999998E-2</v>
      </c>
      <c r="J13" s="133">
        <f>Forecast_Model!F14</f>
        <v>0.05</v>
      </c>
      <c r="K13" s="134">
        <f>AVERAGE(H13:J13)</f>
        <v>4.5000000000000005E-2</v>
      </c>
      <c r="L13" s="135" t="str">
        <f t="shared" si="0"/>
        <v>📉 ↓</v>
      </c>
      <c r="M13" s="141" t="str">
        <f>IF(K13&gt;=0.05,"🟢 Strong",IF(K13&gt;=0.03,"🟡 Moderate","🔴 Weak"))</f>
        <v>🟡 Moderate</v>
      </c>
      <c r="N13" s="158"/>
    </row>
    <row r="14" spans="1:14" ht="10.199999999999999" customHeight="1" x14ac:dyDescent="0.3">
      <c r="A14" s="92"/>
      <c r="B14" s="215"/>
      <c r="C14" s="215"/>
      <c r="D14" s="215"/>
      <c r="E14" s="215"/>
      <c r="F14" s="216"/>
      <c r="G14" s="217"/>
      <c r="H14" s="217"/>
      <c r="I14" s="217"/>
      <c r="J14" s="218"/>
      <c r="K14" s="217"/>
      <c r="L14" s="219"/>
      <c r="M14" s="220"/>
      <c r="N14" s="221"/>
    </row>
    <row r="15" spans="1:14" ht="28.2" customHeight="1" x14ac:dyDescent="0.3">
      <c r="A15" s="92"/>
      <c r="B15" s="192" t="s">
        <v>237</v>
      </c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4"/>
      <c r="N15" s="92"/>
    </row>
    <row r="16" spans="1:14" ht="22.2" customHeight="1" x14ac:dyDescent="0.3">
      <c r="A16" s="92"/>
      <c r="B16" s="144" t="s">
        <v>21</v>
      </c>
      <c r="C16" s="117" t="s">
        <v>33</v>
      </c>
      <c r="D16" s="117" t="s">
        <v>34</v>
      </c>
      <c r="E16" s="117" t="s">
        <v>35</v>
      </c>
      <c r="F16" s="117" t="s">
        <v>36</v>
      </c>
      <c r="G16" s="117" t="s">
        <v>37</v>
      </c>
      <c r="H16" s="117" t="s">
        <v>38</v>
      </c>
      <c r="I16" s="117" t="s">
        <v>39</v>
      </c>
      <c r="J16" s="117" t="s">
        <v>40</v>
      </c>
      <c r="K16" s="117" t="s">
        <v>41</v>
      </c>
      <c r="L16" s="117" t="s">
        <v>42</v>
      </c>
      <c r="M16" s="148" t="s">
        <v>162</v>
      </c>
      <c r="N16" s="92"/>
    </row>
    <row r="17" spans="1:14" ht="22.2" customHeight="1" x14ac:dyDescent="0.3">
      <c r="A17" s="92"/>
      <c r="B17" s="145" t="s">
        <v>25</v>
      </c>
      <c r="C17" s="118">
        <f>Historical_Data!C5</f>
        <v>123104</v>
      </c>
      <c r="D17" s="118">
        <f>Historical_Data!D5</f>
        <v>146463</v>
      </c>
      <c r="E17" s="118">
        <f>Historical_Data!E5</f>
        <v>156949</v>
      </c>
      <c r="F17" s="118">
        <f>Historical_Data!F5</f>
        <v>164177</v>
      </c>
      <c r="G17" s="118">
        <f>Historical_Data!G5</f>
        <v>191754</v>
      </c>
      <c r="H17" s="118">
        <f>Historical_Data!H5</f>
        <v>225458</v>
      </c>
      <c r="I17" s="118">
        <f>Historical_Data!I5</f>
        <v>240893</v>
      </c>
      <c r="J17" s="118">
        <f>Historical_Data!J5</f>
        <v>255324</v>
      </c>
      <c r="K17" s="119">
        <f>Forecast_Model!D13</f>
        <v>265536.96000000002</v>
      </c>
      <c r="L17" s="119">
        <f>Forecast_Model!E13</f>
        <v>277486.12320000003</v>
      </c>
      <c r="M17" s="149">
        <f>Forecast_Model!F13</f>
        <v>291360.42936000007</v>
      </c>
      <c r="N17" s="92"/>
    </row>
    <row r="18" spans="1:14" ht="22.2" customHeight="1" x14ac:dyDescent="0.3">
      <c r="A18" s="92"/>
      <c r="B18" s="146" t="s">
        <v>29</v>
      </c>
      <c r="C18" s="100">
        <f>Historical_Data!C9</f>
        <v>25826</v>
      </c>
      <c r="D18" s="100">
        <f>Historical_Data!D9</f>
        <v>31472</v>
      </c>
      <c r="E18" s="100">
        <f>Historical_Data!E9</f>
        <v>32340</v>
      </c>
      <c r="F18" s="100">
        <f>Historical_Data!F9</f>
        <v>32562</v>
      </c>
      <c r="G18" s="100">
        <f>Historical_Data!G9</f>
        <v>38449</v>
      </c>
      <c r="H18" s="100">
        <f>Historical_Data!H9</f>
        <v>42303</v>
      </c>
      <c r="I18" s="100">
        <f>Historical_Data!I9</f>
        <v>46099</v>
      </c>
      <c r="J18" s="100">
        <f>Historical_Data!J9</f>
        <v>48797</v>
      </c>
      <c r="K18" s="101">
        <f>Forecast_Model!D20</f>
        <v>45783.882643200006</v>
      </c>
      <c r="L18" s="101">
        <f>Forecast_Model!E20</f>
        <v>48254.836824480008</v>
      </c>
      <c r="M18" s="150">
        <f>Forecast_Model!F20</f>
        <v>51314.398818883215</v>
      </c>
      <c r="N18" s="92"/>
    </row>
    <row r="19" spans="1:14" ht="22.2" customHeight="1" x14ac:dyDescent="0.3">
      <c r="A19" s="92"/>
      <c r="B19" s="145" t="s">
        <v>163</v>
      </c>
      <c r="C19" s="118">
        <f>Historical_Data!C10</f>
        <v>67.099999999999994</v>
      </c>
      <c r="D19" s="118">
        <f>Historical_Data!D10</f>
        <v>83.05</v>
      </c>
      <c r="E19" s="118">
        <f>Historical_Data!E10</f>
        <v>85.5</v>
      </c>
      <c r="F19" s="118">
        <f>Historical_Data!F10</f>
        <v>87.67</v>
      </c>
      <c r="G19" s="118">
        <f>Historical_Data!G10</f>
        <v>104.75</v>
      </c>
      <c r="H19" s="118">
        <f>Historical_Data!H10</f>
        <v>115.19</v>
      </c>
      <c r="I19" s="118">
        <f>Historical_Data!I10</f>
        <v>126.88</v>
      </c>
      <c r="J19" s="118">
        <f>Historical_Data!J10</f>
        <v>134.19999999999999</v>
      </c>
      <c r="K19" s="119">
        <f>Forecast_Model!D22</f>
        <v>126.47481393149172</v>
      </c>
      <c r="L19" s="119">
        <f>Forecast_Model!E22</f>
        <v>133.30065421127074</v>
      </c>
      <c r="M19" s="149">
        <f>Forecast_Model!F22</f>
        <v>141.75248292509175</v>
      </c>
      <c r="N19" s="92"/>
    </row>
    <row r="20" spans="1:14" ht="22.2" customHeight="1" x14ac:dyDescent="0.3">
      <c r="A20" s="92"/>
      <c r="B20" s="146" t="s">
        <v>26</v>
      </c>
      <c r="C20" s="100">
        <f>Historical_Data!C6</f>
        <v>33800</v>
      </c>
      <c r="D20" s="100">
        <f>Historical_Data!D6</f>
        <v>37450</v>
      </c>
      <c r="E20" s="100">
        <f>Historical_Data!E6</f>
        <v>40520</v>
      </c>
      <c r="F20" s="100">
        <f>Historical_Data!F6</f>
        <v>49680</v>
      </c>
      <c r="G20" s="100">
        <f>Historical_Data!G6</f>
        <v>57075</v>
      </c>
      <c r="H20" s="100">
        <f>Historical_Data!H6</f>
        <v>62708</v>
      </c>
      <c r="I20" s="100">
        <f>Historical_Data!I6</f>
        <v>68718</v>
      </c>
      <c r="J20" s="100">
        <f>Historical_Data!J6</f>
        <v>71369</v>
      </c>
      <c r="K20" s="101">
        <f>Forecast_Model!D15</f>
        <v>67711.924800000008</v>
      </c>
      <c r="L20" s="101">
        <f>Forecast_Model!E15</f>
        <v>71313.933662400013</v>
      </c>
      <c r="M20" s="150">
        <f>Forecast_Model!F15</f>
        <v>75753.711633600018</v>
      </c>
      <c r="N20" s="92"/>
    </row>
    <row r="21" spans="1:14" ht="22.2" customHeight="1" x14ac:dyDescent="0.3">
      <c r="A21" s="92"/>
      <c r="B21" s="145" t="s">
        <v>238</v>
      </c>
      <c r="C21" s="118">
        <f>Historical_Data!C18</f>
        <v>23424</v>
      </c>
      <c r="D21" s="118">
        <f>Historical_Data!D18</f>
        <v>29759</v>
      </c>
      <c r="E21" s="118">
        <f>Historical_Data!E18</f>
        <v>31197</v>
      </c>
      <c r="F21" s="118">
        <f>Historical_Data!F18</f>
        <v>31373</v>
      </c>
      <c r="G21" s="118">
        <f>Historical_Data!G18</f>
        <v>37497</v>
      </c>
      <c r="H21" s="118">
        <f>Historical_Data!H18</f>
        <v>40997</v>
      </c>
      <c r="I21" s="118">
        <f>Historical_Data!I18</f>
        <v>45227</v>
      </c>
      <c r="J21" s="118">
        <f>Historical_Data!J18</f>
        <v>47776</v>
      </c>
      <c r="K21" s="119">
        <f>Forecast_Model!D29</f>
        <v>44987.271763200006</v>
      </c>
      <c r="L21" s="119">
        <f>Forecast_Model!E29</f>
        <v>47422.378454880003</v>
      </c>
      <c r="M21" s="149">
        <f>Forecast_Model!F29</f>
        <v>50440.317530803215</v>
      </c>
      <c r="N21" s="92"/>
    </row>
    <row r="22" spans="1:14" ht="22.2" customHeight="1" x14ac:dyDescent="0.3">
      <c r="A22" s="92"/>
      <c r="B22" s="146" t="s">
        <v>76</v>
      </c>
      <c r="C22" s="120">
        <f t="shared" ref="C22:J22" si="1">C20/C17</f>
        <v>0.27456459578892645</v>
      </c>
      <c r="D22" s="120">
        <f t="shared" si="1"/>
        <v>0.2556959778237507</v>
      </c>
      <c r="E22" s="120">
        <f t="shared" si="1"/>
        <v>0.25817303710122397</v>
      </c>
      <c r="F22" s="120">
        <f t="shared" si="1"/>
        <v>0.30260024242128924</v>
      </c>
      <c r="G22" s="120">
        <f t="shared" si="1"/>
        <v>0.29764698519978722</v>
      </c>
      <c r="H22" s="120">
        <f t="shared" si="1"/>
        <v>0.27813606081842296</v>
      </c>
      <c r="I22" s="120">
        <f t="shared" si="1"/>
        <v>0.28526358175621541</v>
      </c>
      <c r="J22" s="120">
        <f t="shared" si="1"/>
        <v>0.27952327239115793</v>
      </c>
      <c r="K22" s="121">
        <f>Forecast_Model!D16</f>
        <v>0.255</v>
      </c>
      <c r="L22" s="121">
        <f>Forecast_Model!E16</f>
        <v>0.25700000000000001</v>
      </c>
      <c r="M22" s="151">
        <f>Forecast_Model!F16</f>
        <v>0.26</v>
      </c>
      <c r="N22" s="92"/>
    </row>
    <row r="23" spans="1:14" ht="22.2" customHeight="1" x14ac:dyDescent="0.3">
      <c r="A23" s="92"/>
      <c r="B23" s="147" t="s">
        <v>77</v>
      </c>
      <c r="C23" s="142">
        <f t="shared" ref="C23:M23" si="2">C18/C17</f>
        <v>0.20979009617884065</v>
      </c>
      <c r="D23" s="142">
        <f t="shared" si="2"/>
        <v>0.21488020865338003</v>
      </c>
      <c r="E23" s="142">
        <f t="shared" si="2"/>
        <v>0.20605419594900254</v>
      </c>
      <c r="F23" s="142">
        <f t="shared" si="2"/>
        <v>0.19833472410873632</v>
      </c>
      <c r="G23" s="142">
        <f t="shared" si="2"/>
        <v>0.20051211448001086</v>
      </c>
      <c r="H23" s="142">
        <f t="shared" si="2"/>
        <v>0.18763139919630265</v>
      </c>
      <c r="I23" s="142">
        <f t="shared" si="2"/>
        <v>0.19136712150207769</v>
      </c>
      <c r="J23" s="142">
        <f t="shared" si="2"/>
        <v>0.19111795209224358</v>
      </c>
      <c r="K23" s="143">
        <f t="shared" si="2"/>
        <v>0.17242000000000002</v>
      </c>
      <c r="L23" s="143">
        <f t="shared" si="2"/>
        <v>0.1739</v>
      </c>
      <c r="M23" s="152">
        <f t="shared" si="2"/>
        <v>0.17612</v>
      </c>
      <c r="N23" s="92"/>
    </row>
    <row r="24" spans="1:14" ht="10.199999999999999" customHeight="1" x14ac:dyDescent="0.3">
      <c r="A24" s="92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92"/>
    </row>
    <row r="25" spans="1:14" ht="28.2" customHeight="1" x14ac:dyDescent="0.3">
      <c r="A25" s="92"/>
      <c r="B25" s="195" t="s">
        <v>347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92"/>
    </row>
    <row r="26" spans="1:14" ht="16.8" x14ac:dyDescent="0.3">
      <c r="A26" s="92"/>
      <c r="B26" s="200" t="s">
        <v>348</v>
      </c>
      <c r="C26" s="200"/>
      <c r="D26" s="200"/>
      <c r="E26" s="200"/>
      <c r="F26" s="200"/>
      <c r="G26" s="93"/>
      <c r="H26" s="200" t="s">
        <v>349</v>
      </c>
      <c r="I26" s="200"/>
      <c r="J26" s="200"/>
      <c r="K26" s="200"/>
      <c r="L26" s="200"/>
      <c r="M26" s="200"/>
      <c r="N26" s="92"/>
    </row>
    <row r="27" spans="1:14" ht="55.2" customHeight="1" x14ac:dyDescent="0.3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2"/>
    </row>
    <row r="28" spans="1:14" ht="55.2" customHeight="1" x14ac:dyDescent="0.3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2"/>
    </row>
    <row r="29" spans="1:14" ht="55.2" customHeight="1" x14ac:dyDescent="0.3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2"/>
    </row>
    <row r="30" spans="1:14" ht="7.95" customHeight="1" x14ac:dyDescent="0.3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2"/>
    </row>
    <row r="31" spans="1:14" ht="14.4" hidden="1" customHeight="1" x14ac:dyDescent="0.3">
      <c r="A31" s="92"/>
      <c r="B31" s="200" t="s">
        <v>350</v>
      </c>
      <c r="C31" s="200"/>
      <c r="D31" s="200"/>
      <c r="E31" s="200"/>
      <c r="F31" s="200"/>
      <c r="G31" s="93"/>
      <c r="H31" s="200" t="s">
        <v>351</v>
      </c>
      <c r="I31" s="200"/>
      <c r="J31" s="200"/>
      <c r="K31" s="200"/>
      <c r="L31" s="200"/>
      <c r="M31" s="200"/>
      <c r="N31" s="92"/>
    </row>
    <row r="32" spans="1:14" ht="45" customHeight="1" x14ac:dyDescent="0.3">
      <c r="A32" s="92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2"/>
    </row>
    <row r="33" spans="1:14" ht="45" customHeight="1" x14ac:dyDescent="0.3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2"/>
    </row>
    <row r="34" spans="1:14" ht="45" customHeight="1" x14ac:dyDescent="0.3">
      <c r="A34" s="92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2"/>
    </row>
    <row r="35" spans="1:14" ht="45" customHeight="1" x14ac:dyDescent="0.3">
      <c r="A35" s="92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2"/>
    </row>
    <row r="36" spans="1:14" ht="7.95" customHeight="1" x14ac:dyDescent="0.3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2"/>
    </row>
    <row r="37" spans="1:14" ht="14.4" hidden="1" customHeight="1" x14ac:dyDescent="0.3">
      <c r="A37" s="92"/>
      <c r="B37" s="200" t="s">
        <v>342</v>
      </c>
      <c r="C37" s="200"/>
      <c r="D37" s="200"/>
      <c r="E37" s="200"/>
      <c r="F37" s="200"/>
      <c r="G37" s="93"/>
      <c r="H37" s="200" t="s">
        <v>352</v>
      </c>
      <c r="I37" s="200"/>
      <c r="J37" s="200"/>
      <c r="K37" s="200"/>
      <c r="L37" s="200"/>
      <c r="M37" s="200"/>
      <c r="N37" s="92"/>
    </row>
    <row r="38" spans="1:14" ht="7.95" customHeight="1" x14ac:dyDescent="0.3">
      <c r="A38" s="9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2"/>
    </row>
    <row r="39" spans="1:14" ht="28.2" customHeight="1" x14ac:dyDescent="0.3">
      <c r="A39" s="92"/>
      <c r="B39" s="195" t="s">
        <v>336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92"/>
    </row>
    <row r="40" spans="1:14" ht="15.6" hidden="1" customHeight="1" x14ac:dyDescent="0.3">
      <c r="A40" s="92"/>
      <c r="B40" s="200" t="s">
        <v>353</v>
      </c>
      <c r="C40" s="200"/>
      <c r="D40" s="200"/>
      <c r="E40" s="200"/>
      <c r="F40" s="200"/>
      <c r="G40" s="93"/>
      <c r="H40" s="200" t="s">
        <v>335</v>
      </c>
      <c r="I40" s="200"/>
      <c r="J40" s="200"/>
      <c r="K40" s="200"/>
      <c r="L40" s="200"/>
      <c r="M40" s="200"/>
      <c r="N40" s="92"/>
    </row>
    <row r="41" spans="1:14" ht="18" customHeight="1" x14ac:dyDescent="0.3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</row>
    <row r="42" spans="1:14" ht="18" customHeight="1" x14ac:dyDescent="0.3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</row>
    <row r="43" spans="1:14" ht="18" customHeight="1" x14ac:dyDescent="0.3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2"/>
    </row>
    <row r="44" spans="1:14" ht="18" customHeight="1" x14ac:dyDescent="0.3">
      <c r="A44" s="92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2"/>
    </row>
    <row r="45" spans="1:14" ht="18" customHeight="1" x14ac:dyDescent="0.3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2"/>
    </row>
    <row r="46" spans="1:14" ht="18" customHeight="1" x14ac:dyDescent="0.3">
      <c r="A46" s="92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2"/>
    </row>
    <row r="47" spans="1:14" ht="18" customHeight="1" x14ac:dyDescent="0.3">
      <c r="A47" s="92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2"/>
    </row>
    <row r="48" spans="1:14" ht="18" customHeight="1" x14ac:dyDescent="0.3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2"/>
    </row>
    <row r="49" spans="1:14" ht="18" customHeight="1" x14ac:dyDescent="0.3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2"/>
    </row>
    <row r="50" spans="1:14" ht="18" customHeight="1" x14ac:dyDescent="0.3">
      <c r="A50" s="92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2"/>
    </row>
    <row r="51" spans="1:14" ht="18" customHeight="1" x14ac:dyDescent="0.3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2"/>
    </row>
    <row r="52" spans="1:14" ht="18" customHeight="1" x14ac:dyDescent="0.3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2"/>
    </row>
    <row r="53" spans="1:14" ht="7.95" customHeight="1" x14ac:dyDescent="0.3">
      <c r="A53" s="92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2"/>
    </row>
    <row r="54" spans="1:14" ht="28.2" customHeight="1" x14ac:dyDescent="0.3">
      <c r="A54" s="92"/>
      <c r="B54" s="195" t="s">
        <v>354</v>
      </c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92"/>
    </row>
    <row r="55" spans="1:14" ht="18" customHeight="1" x14ac:dyDescent="0.3">
      <c r="A55" s="92"/>
      <c r="B55" s="200" t="s">
        <v>355</v>
      </c>
      <c r="C55" s="200"/>
      <c r="D55" s="200"/>
      <c r="E55" s="200"/>
      <c r="F55" s="200"/>
      <c r="G55" s="93"/>
      <c r="H55" s="200" t="s">
        <v>356</v>
      </c>
      <c r="I55" s="200"/>
      <c r="J55" s="200"/>
      <c r="K55" s="200"/>
      <c r="L55" s="200"/>
      <c r="M55" s="200"/>
      <c r="N55" s="92"/>
    </row>
    <row r="56" spans="1:14" ht="18" customHeight="1" x14ac:dyDescent="0.3">
      <c r="A56" s="92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2"/>
    </row>
    <row r="57" spans="1:14" ht="18" customHeight="1" x14ac:dyDescent="0.3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2"/>
    </row>
    <row r="58" spans="1:14" ht="18" customHeight="1" x14ac:dyDescent="0.3">
      <c r="A58" s="92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2"/>
    </row>
    <row r="59" spans="1:14" ht="18" customHeight="1" x14ac:dyDescent="0.3">
      <c r="A59" s="9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2"/>
    </row>
    <row r="60" spans="1:14" ht="18" customHeight="1" x14ac:dyDescent="0.3">
      <c r="A60" s="9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2"/>
    </row>
    <row r="61" spans="1:14" ht="18" customHeight="1" x14ac:dyDescent="0.3">
      <c r="A61" s="92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2"/>
    </row>
    <row r="62" spans="1:14" ht="18" customHeight="1" x14ac:dyDescent="0.3">
      <c r="A62" s="92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2"/>
    </row>
    <row r="63" spans="1:14" ht="18" customHeight="1" x14ac:dyDescent="0.3">
      <c r="A63" s="92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2"/>
    </row>
    <row r="64" spans="1:14" ht="18" customHeight="1" x14ac:dyDescent="0.3">
      <c r="A64" s="9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2"/>
    </row>
    <row r="65" spans="1:14" ht="18" customHeight="1" x14ac:dyDescent="0.3">
      <c r="A65" s="9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2"/>
    </row>
    <row r="66" spans="1:14" ht="18" customHeight="1" x14ac:dyDescent="0.3">
      <c r="A66" s="9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2"/>
    </row>
    <row r="67" spans="1:14" ht="18" customHeight="1" x14ac:dyDescent="0.3">
      <c r="A67" s="92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2"/>
    </row>
    <row r="68" spans="1:14" ht="18" customHeight="1" x14ac:dyDescent="0.3">
      <c r="A68" s="92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2"/>
    </row>
    <row r="69" spans="1:14" ht="16.8" x14ac:dyDescent="0.3">
      <c r="A69" s="92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2"/>
    </row>
    <row r="70" spans="1:14" ht="16.8" x14ac:dyDescent="0.3">
      <c r="A70" s="9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2"/>
    </row>
    <row r="71" spans="1:14" ht="7.95" customHeight="1" x14ac:dyDescent="0.3">
      <c r="A71" s="92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2"/>
    </row>
    <row r="72" spans="1:14" ht="28.2" customHeight="1" thickBot="1" x14ac:dyDescent="0.35">
      <c r="A72" s="92"/>
      <c r="B72" s="184" t="s">
        <v>164</v>
      </c>
      <c r="C72" s="185"/>
      <c r="D72" s="185"/>
      <c r="E72" s="185"/>
      <c r="F72" s="185"/>
      <c r="G72" s="186"/>
      <c r="H72" s="93"/>
      <c r="I72" s="187" t="s">
        <v>166</v>
      </c>
      <c r="J72" s="187"/>
      <c r="K72" s="187"/>
      <c r="L72" s="188"/>
      <c r="M72" s="93"/>
      <c r="N72" s="92"/>
    </row>
    <row r="73" spans="1:14" ht="24" customHeight="1" x14ac:dyDescent="0.3">
      <c r="A73" s="92"/>
      <c r="B73" s="163" t="s">
        <v>54</v>
      </c>
      <c r="C73" s="102" t="s">
        <v>1</v>
      </c>
      <c r="D73" s="102" t="s">
        <v>4</v>
      </c>
      <c r="E73" s="102" t="s">
        <v>163</v>
      </c>
      <c r="F73" s="102" t="s">
        <v>3</v>
      </c>
      <c r="G73" s="167" t="s">
        <v>239</v>
      </c>
      <c r="H73" s="93"/>
      <c r="I73" s="126" t="s">
        <v>139</v>
      </c>
      <c r="J73" s="124">
        <v>11</v>
      </c>
      <c r="K73" s="124"/>
      <c r="L73" s="172"/>
      <c r="M73" s="93"/>
      <c r="N73" s="92"/>
    </row>
    <row r="74" spans="1:14" ht="24" customHeight="1" x14ac:dyDescent="0.3">
      <c r="A74" s="92"/>
      <c r="B74" s="164" t="s">
        <v>58</v>
      </c>
      <c r="C74" s="122" t="str">
        <f>"₹"&amp;TEXT(Historical_Data!J5*(1+Assumptions!C10)*(1+Assumptions!C11)*(1+Assumptions!C12),"#,##,##0")</f>
        <v>₹3,26,116</v>
      </c>
      <c r="D74" s="122" t="str">
        <f>"₹"&amp;TEXT(Historical_Data!J5*(1+Assumptions!C10)*(1+Assumptions!C11)*(1+Assumptions!C12)*(Assumptions!C13-Assumptions!C18)*(1-Assumptions!C17),"#,##,##0")</f>
        <v>₹62,926</v>
      </c>
      <c r="E74" s="122" t="str">
        <f>"₹"&amp;TEXT((Historical_Data!J5*(1+Assumptions!C10)*(1+Assumptions!C11)*(1+Assumptions!C12)*(Assumptions!C13-Assumptions!C18)*(1-Assumptions!C17))/Assumptions!C19,"#,##0.00")</f>
        <v>₹173.83</v>
      </c>
      <c r="F74" s="122" t="str">
        <f>"₹"&amp;TEXT(Historical_Data!J5*(1+Assumptions!C10)*(1+Assumptions!C11)*(1+Assumptions!C12)*Assumptions!C13,"#,##,##0")</f>
        <v>₹91,312</v>
      </c>
      <c r="G74" s="168">
        <f>((1+Assumptions!C10)*(1+Assumptions!C11)*(1+Assumptions!C12))^(1/3)-1</f>
        <v>8.4992319454079368E-2</v>
      </c>
      <c r="H74" s="93"/>
      <c r="I74" s="127" t="s">
        <v>140</v>
      </c>
      <c r="J74" s="125">
        <v>11</v>
      </c>
      <c r="K74" s="125"/>
      <c r="L74" s="173"/>
      <c r="M74" s="93"/>
      <c r="N74" s="92"/>
    </row>
    <row r="75" spans="1:14" ht="24" customHeight="1" x14ac:dyDescent="0.3">
      <c r="A75" s="92"/>
      <c r="B75" s="165" t="s">
        <v>59</v>
      </c>
      <c r="C75" s="123" t="str">
        <f>"₹"&amp;TEXT(Historical_Data!J5*(1+Assumptions!D10)*(1+Assumptions!D11)*(1+Assumptions!D12),"#,##,##0")</f>
        <v>₹3,68,377</v>
      </c>
      <c r="D75" s="123" t="str">
        <f>"₹"&amp;TEXT(Historical_Data!J5*(1+Assumptions!D10)*(1+Assumptions!D11)*(1+Assumptions!D12)*(0.31-Assumptions!D18)*(1-Assumptions!D17),"#,##,##0")</f>
        <v>₹80,122</v>
      </c>
      <c r="E75" s="123" t="str">
        <f>"₹"&amp;TEXT((Historical_Data!J5*(1+Assumptions!D10)*(1+Assumptions!D11)*(1+Assumptions!D12)*(0.31-Assumptions!D18)*(1-Assumptions!D17))/Assumptions!D19,"#,##0.00")</f>
        <v>₹221.33</v>
      </c>
      <c r="F75" s="123" t="str">
        <f>"₹"&amp;TEXT(Historical_Data!J5*(1+Assumptions!D10)*(1+Assumptions!D11)*(1+Assumptions!D12)*0.31,"#,##,##0")</f>
        <v>₹1,14,197</v>
      </c>
      <c r="G75" s="169">
        <f>((1+Assumptions!D10)*(1+Assumptions!D11)*(1+Assumptions!D12))^(1/3)-1</f>
        <v>0.12997050070483707</v>
      </c>
      <c r="H75" s="93"/>
      <c r="I75" s="127" t="s">
        <v>141</v>
      </c>
      <c r="J75" s="125">
        <v>0</v>
      </c>
      <c r="K75" s="125"/>
      <c r="L75" s="173"/>
      <c r="M75" s="93"/>
      <c r="N75" s="92"/>
    </row>
    <row r="76" spans="1:14" ht="24" customHeight="1" thickBot="1" x14ac:dyDescent="0.35">
      <c r="A76" s="92"/>
      <c r="B76" s="166" t="s">
        <v>60</v>
      </c>
      <c r="C76" s="162" t="str">
        <f>"₹"&amp;TEXT(Historical_Data!J5*(1+Assumptions!E10)*(1+Assumptions!E11)*(1+Assumptions!E12),"#,##,##0")</f>
        <v>₹2,91,360</v>
      </c>
      <c r="D76" s="162" t="str">
        <f>"₹"&amp;TEXT(Historical_Data!J5*(1+Assumptions!E10)*(1+Assumptions!E11)*(1+Assumptions!E12)*(Assumptions!E13-Assumptions!E18)*(1-Assumptions!E17),"#,##,##0")</f>
        <v>₹50,236</v>
      </c>
      <c r="E76" s="162" t="str">
        <f>"₹"&amp;TEXT((Historical_Data!J5*(1+Assumptions!E10)*(1+Assumptions!E11)*(1+Assumptions!E12)*(Assumptions!E13-Assumptions!E18)*(1-Assumptions!E17))/Assumptions!E19,"#,##0.00")</f>
        <v>₹138.77</v>
      </c>
      <c r="F76" s="162" t="str">
        <f>"₹"&amp;TEXT(Historical_Data!J5*(1+Assumptions!E10)*(1+Assumptions!E11)*(1+Assumptions!E12)*Assumptions!E13,"#,##,##0")</f>
        <v>₹74,297</v>
      </c>
      <c r="G76" s="170">
        <f>((1+Assumptions!E10)*(1+Assumptions!E11)*(1+Assumptions!E12))^(1/3)-1</f>
        <v>4.4992025457486706E-2</v>
      </c>
      <c r="H76" s="93"/>
      <c r="I76" s="171" t="s">
        <v>167</v>
      </c>
      <c r="J76" s="178" t="s">
        <v>240</v>
      </c>
      <c r="K76" s="178"/>
      <c r="L76" s="179"/>
      <c r="M76" s="93"/>
      <c r="N76" s="92"/>
    </row>
    <row r="77" spans="1:14" ht="7.95" customHeight="1" x14ac:dyDescent="0.3">
      <c r="A77" s="92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2"/>
    </row>
    <row r="78" spans="1:14" ht="28.2" customHeight="1" x14ac:dyDescent="0.3">
      <c r="A78" s="92"/>
      <c r="B78" s="180" t="s">
        <v>168</v>
      </c>
      <c r="C78" s="181"/>
      <c r="D78" s="181"/>
      <c r="E78" s="181"/>
      <c r="F78" s="181"/>
      <c r="G78" s="181"/>
      <c r="H78" s="181"/>
      <c r="I78" s="181"/>
      <c r="J78" s="181"/>
      <c r="K78" s="181"/>
      <c r="L78" s="182"/>
      <c r="M78" s="93"/>
      <c r="N78" s="92"/>
    </row>
    <row r="79" spans="1:14" ht="25.95" customHeight="1" x14ac:dyDescent="0.3">
      <c r="A79" s="92"/>
      <c r="B79" s="222" t="s">
        <v>55</v>
      </c>
      <c r="C79" s="223"/>
      <c r="D79" s="223"/>
      <c r="E79" s="223"/>
      <c r="F79" s="224"/>
      <c r="G79" s="93"/>
      <c r="H79" s="225" t="s">
        <v>172</v>
      </c>
      <c r="I79" s="226"/>
      <c r="J79" s="226"/>
      <c r="K79" s="226"/>
      <c r="L79" s="227"/>
      <c r="M79" s="93"/>
      <c r="N79" s="92"/>
    </row>
    <row r="80" spans="1:14" ht="16.8" x14ac:dyDescent="0.3">
      <c r="A80" s="92"/>
      <c r="B80" s="228" t="s">
        <v>169</v>
      </c>
      <c r="C80" s="229"/>
      <c r="D80" s="229"/>
      <c r="E80" s="229"/>
      <c r="F80" s="230"/>
      <c r="G80" s="93"/>
      <c r="H80" s="237" t="s">
        <v>173</v>
      </c>
      <c r="I80" s="238"/>
      <c r="J80" s="238"/>
      <c r="K80" s="238"/>
      <c r="L80" s="239"/>
      <c r="M80" s="93"/>
      <c r="N80" s="92"/>
    </row>
    <row r="81" spans="1:14" ht="16.8" x14ac:dyDescent="0.3">
      <c r="A81" s="92"/>
      <c r="B81" s="231" t="s">
        <v>334</v>
      </c>
      <c r="C81" s="232"/>
      <c r="D81" s="232"/>
      <c r="E81" s="232"/>
      <c r="F81" s="233"/>
      <c r="G81" s="93"/>
      <c r="H81" s="240" t="s">
        <v>174</v>
      </c>
      <c r="I81" s="241"/>
      <c r="J81" s="241"/>
      <c r="K81" s="241"/>
      <c r="L81" s="242"/>
      <c r="M81" s="93"/>
      <c r="N81" s="92"/>
    </row>
    <row r="82" spans="1:14" ht="16.8" x14ac:dyDescent="0.3">
      <c r="A82" s="92"/>
      <c r="B82" s="231" t="s">
        <v>170</v>
      </c>
      <c r="C82" s="232"/>
      <c r="D82" s="232"/>
      <c r="E82" s="232"/>
      <c r="F82" s="233"/>
      <c r="G82" s="93"/>
      <c r="H82" s="240" t="s">
        <v>175</v>
      </c>
      <c r="I82" s="241"/>
      <c r="J82" s="241"/>
      <c r="K82" s="241"/>
      <c r="L82" s="242"/>
      <c r="M82" s="93"/>
      <c r="N82" s="92"/>
    </row>
    <row r="83" spans="1:14" ht="16.8" x14ac:dyDescent="0.3">
      <c r="A83" s="92"/>
      <c r="B83" s="234" t="s">
        <v>171</v>
      </c>
      <c r="C83" s="235"/>
      <c r="D83" s="235"/>
      <c r="E83" s="235"/>
      <c r="F83" s="236"/>
      <c r="G83" s="174"/>
      <c r="H83" s="243" t="s">
        <v>241</v>
      </c>
      <c r="I83" s="244"/>
      <c r="J83" s="244"/>
      <c r="K83" s="244"/>
      <c r="L83" s="245"/>
      <c r="M83" s="93"/>
      <c r="N83" s="92"/>
    </row>
    <row r="84" spans="1:14" ht="7.95" customHeight="1" x14ac:dyDescent="0.3">
      <c r="A84" s="92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2"/>
    </row>
    <row r="85" spans="1:14" ht="25.95" customHeight="1" x14ac:dyDescent="0.3">
      <c r="A85" s="92"/>
      <c r="B85" s="201" t="s">
        <v>176</v>
      </c>
      <c r="C85" s="202"/>
      <c r="D85" s="202"/>
      <c r="E85" s="202"/>
      <c r="F85" s="202"/>
      <c r="G85" s="202"/>
      <c r="H85" s="202"/>
      <c r="I85" s="202"/>
      <c r="J85" s="202"/>
      <c r="K85" s="202"/>
      <c r="L85" s="203"/>
      <c r="M85" s="93"/>
      <c r="N85" s="92"/>
    </row>
    <row r="86" spans="1:14" ht="16.8" x14ac:dyDescent="0.3">
      <c r="A86" s="92"/>
      <c r="B86" s="204" t="s">
        <v>242</v>
      </c>
      <c r="C86" s="205"/>
      <c r="D86" s="205"/>
      <c r="E86" s="205"/>
      <c r="F86" s="205"/>
      <c r="G86" s="205"/>
      <c r="H86" s="205"/>
      <c r="I86" s="205"/>
      <c r="J86" s="205"/>
      <c r="K86" s="205"/>
      <c r="L86" s="206"/>
      <c r="M86" s="93"/>
      <c r="N86" s="92"/>
    </row>
    <row r="87" spans="1:14" ht="16.8" x14ac:dyDescent="0.3">
      <c r="A87" s="92"/>
      <c r="B87" s="207" t="s">
        <v>304</v>
      </c>
      <c r="C87" s="208"/>
      <c r="D87" s="208"/>
      <c r="E87" s="208"/>
      <c r="F87" s="208"/>
      <c r="G87" s="208"/>
      <c r="H87" s="208"/>
      <c r="I87" s="208"/>
      <c r="J87" s="208"/>
      <c r="K87" s="208"/>
      <c r="L87" s="209"/>
      <c r="M87" s="93"/>
      <c r="N87" s="92"/>
    </row>
    <row r="88" spans="1:14" ht="16.8" x14ac:dyDescent="0.3">
      <c r="A88" s="92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2"/>
    </row>
    <row r="89" spans="1:14" ht="16.8" x14ac:dyDescent="0.3">
      <c r="A89" s="92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2"/>
    </row>
    <row r="90" spans="1:14" ht="16.8" x14ac:dyDescent="0.3">
      <c r="A90" s="92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2"/>
    </row>
  </sheetData>
  <mergeCells count="37">
    <mergeCell ref="B37:F37"/>
    <mergeCell ref="H37:M37"/>
    <mergeCell ref="B40:F40"/>
    <mergeCell ref="H40:M40"/>
    <mergeCell ref="B54:M54"/>
    <mergeCell ref="B85:L85"/>
    <mergeCell ref="B86:L86"/>
    <mergeCell ref="B87:L87"/>
    <mergeCell ref="C7:D7"/>
    <mergeCell ref="B9:D9"/>
    <mergeCell ref="B14:N14"/>
    <mergeCell ref="B79:F79"/>
    <mergeCell ref="H79:L79"/>
    <mergeCell ref="B80:F80"/>
    <mergeCell ref="B81:F81"/>
    <mergeCell ref="B82:F82"/>
    <mergeCell ref="B83:F83"/>
    <mergeCell ref="H80:L80"/>
    <mergeCell ref="H81:L81"/>
    <mergeCell ref="H82:L82"/>
    <mergeCell ref="H83:L83"/>
    <mergeCell ref="J76:L76"/>
    <mergeCell ref="B78:L78"/>
    <mergeCell ref="B2:M2"/>
    <mergeCell ref="B72:G72"/>
    <mergeCell ref="I72:L72"/>
    <mergeCell ref="B4:D4"/>
    <mergeCell ref="B15:M15"/>
    <mergeCell ref="B39:M39"/>
    <mergeCell ref="F4:M4"/>
    <mergeCell ref="B25:M25"/>
    <mergeCell ref="B26:F26"/>
    <mergeCell ref="H26:M26"/>
    <mergeCell ref="B31:F31"/>
    <mergeCell ref="H31:M31"/>
    <mergeCell ref="B55:F55"/>
    <mergeCell ref="H55:M55"/>
  </mergeCells>
  <conditionalFormatting sqref="G6:J6">
    <cfRule type="dataBar" priority="8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{B71BCAF6-C038-4E7F-8D38-7E766EEE2D3C}</x14:id>
        </ext>
      </extLst>
    </cfRule>
  </conditionalFormatting>
  <conditionalFormatting sqref="G7:J7">
    <cfRule type="dataBar" priority="9">
      <dataBar>
        <cfvo type="min"/>
        <cfvo type="max"/>
        <color rgb="FF70AD47"/>
      </dataBar>
      <extLst>
        <ext xmlns:x14="http://schemas.microsoft.com/office/spreadsheetml/2009/9/main" uri="{B025F937-C7B1-47D3-B67F-A62EFF666E3E}">
          <x14:id>{40190430-46BF-47C1-AA5D-A10DF125CCE7}</x14:id>
        </ext>
      </extLst>
    </cfRule>
  </conditionalFormatting>
  <conditionalFormatting sqref="G9:J9">
    <cfRule type="dataBar" priority="10">
      <dataBar>
        <cfvo type="min"/>
        <cfvo type="max"/>
        <color rgb="FFED7D31"/>
      </dataBar>
      <extLst>
        <ext xmlns:x14="http://schemas.microsoft.com/office/spreadsheetml/2009/9/main" uri="{B025F937-C7B1-47D3-B67F-A62EFF666E3E}">
          <x14:id>{EB016B5C-F5C4-47DD-B3D7-D57BC0CAB4C9}</x14:id>
        </ext>
      </extLst>
    </cfRule>
  </conditionalFormatting>
  <conditionalFormatting sqref="G10:J10">
    <cfRule type="dataBar" priority="11">
      <dataBar>
        <cfvo type="min"/>
        <cfvo type="max"/>
        <color rgb="FF9E7CC3"/>
      </dataBar>
      <extLst>
        <ext xmlns:x14="http://schemas.microsoft.com/office/spreadsheetml/2009/9/main" uri="{B025F937-C7B1-47D3-B67F-A62EFF666E3E}">
          <x14:id>{2AEF5A5F-D383-4B66-B14A-0BCABDC983BF}</x14:id>
        </ext>
      </extLst>
    </cfRule>
  </conditionalFormatting>
  <conditionalFormatting sqref="J6:J10">
    <cfRule type="dataBar" priority="13">
      <dataBar>
        <cfvo type="min"/>
        <cfvo type="max"/>
        <color rgb="FF2E8B8B"/>
      </dataBar>
      <extLst>
        <ext xmlns:x14="http://schemas.microsoft.com/office/spreadsheetml/2009/9/main" uri="{B025F937-C7B1-47D3-B67F-A62EFF666E3E}">
          <x14:id>{A8D385D9-D8C4-4199-AA21-F6449FC9C169}</x14:id>
        </ext>
      </extLst>
    </cfRule>
  </conditionalFormatting>
  <conditionalFormatting sqref="K6:K10">
    <cfRule type="iconSet" priority="12">
      <iconSet iconSet="3Arrows">
        <cfvo type="percent" val="0"/>
        <cfvo type="num" val="0.03"/>
        <cfvo type="num" val="0.06"/>
      </iconSet>
    </cfRule>
  </conditionalFormatting>
  <conditionalFormatting sqref="K6:K13">
    <cfRule type="cellIs" dxfId="4" priority="6" operator="greaterThan">
      <formula>0</formula>
    </cfRule>
    <cfRule type="cellIs" dxfId="3" priority="7" operator="lessThan">
      <formula>0</formula>
    </cfRule>
  </conditionalFormatting>
  <conditionalFormatting sqref="L6:M13">
    <cfRule type="containsText" dxfId="2" priority="1" operator="containsText" text="↑">
      <formula>NOT(ISERROR(SEARCH("↑",L6)))</formula>
    </cfRule>
    <cfRule type="containsText" dxfId="1" priority="2" operator="containsText" text="↓">
      <formula>NOT(ISERROR(SEARCH("↓",L6)))</formula>
    </cfRule>
  </conditionalFormatting>
  <conditionalFormatting sqref="L11:M13">
    <cfRule type="containsText" dxfId="0" priority="5" operator="containsText" text="→">
      <formula>NOT(ISERROR(SEARCH("→",L11)))</formula>
    </cfRule>
  </conditionalFormatting>
  <dataValidations count="3">
    <dataValidation type="list" allowBlank="1" showInputMessage="1" showErrorMessage="1" errorTitle="Invalid Selection" error="Please select Base, Bull, or Bear from the dropdown." sqref="C5" xr:uid="{8C60FE4E-DBA4-4A10-A582-6CE9A95865C6}">
      <formula1>"Base,Bull,Bear"</formula1>
    </dataValidation>
    <dataValidation type="decimal" allowBlank="1" showInputMessage="1" showErrorMessage="1" errorTitle="Invalid Input" error="Please enter a percentage between -50% and 50%._x000a_Enter 0 to disable custom override." promptTitle="Custom Growth Rate" prompt="Enter a growth rate between -50% and 50%._x000a_Enter 0 to use scenario-based rates." sqref="C7" xr:uid="{E4D5891F-348C-4CD5-913C-EF4E14385005}">
      <formula1>-0.5</formula1>
      <formula2>0.5</formula2>
    </dataValidation>
    <dataValidation type="decimal" allowBlank="1" showInputMessage="1" showErrorMessage="1" promptTitle="Custom Override" prompt="Enter a percentage (-50% to +50%) to override scenario growth rates. Enter 0 to use scenario." sqref="C6" xr:uid="{C3475905-43B3-4FBD-B3E8-E210EA816FA1}">
      <formula1>-0.5</formula1>
      <formula2>0.5</formula2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71BCAF6-C038-4E7F-8D38-7E766EEE2D3C}">
            <x14:dataBar minLength="0" maxLength="100" border="1" direction="leftToRight" negativeBarColorSameAsPositive="1" axisPosition="none">
              <x14:cfvo type="min"/>
              <x14:cfvo type="max"/>
              <x14:borderColor rgb="FF2E75B6"/>
            </x14:dataBar>
          </x14:cfRule>
          <xm:sqref>G6:J6</xm:sqref>
        </x14:conditionalFormatting>
        <x14:conditionalFormatting xmlns:xm="http://schemas.microsoft.com/office/excel/2006/main">
          <x14:cfRule type="dataBar" id="{40190430-46BF-47C1-AA5D-A10DF125CCE7}">
            <x14:dataBar minLength="0" maxLength="100" border="1" direction="leftToRight" negativeBarColorSameAsPositive="1" axisPosition="none">
              <x14:cfvo type="min"/>
              <x14:cfvo type="max"/>
              <x14:borderColor rgb="FF375623"/>
            </x14:dataBar>
          </x14:cfRule>
          <xm:sqref>G7:J7</xm:sqref>
        </x14:conditionalFormatting>
        <x14:conditionalFormatting xmlns:xm="http://schemas.microsoft.com/office/excel/2006/main">
          <x14:cfRule type="dataBar" id="{EB016B5C-F5C4-47DD-B3D7-D57BC0CAB4C9}">
            <x14:dataBar minLength="0" maxLength="100" border="1" direction="leftToRight" negativeBarColorSameAsPositive="1" axisPosition="none">
              <x14:cfvo type="min"/>
              <x14:cfvo type="max"/>
              <x14:borderColor rgb="FFC65911"/>
            </x14:dataBar>
          </x14:cfRule>
          <xm:sqref>G9:J9</xm:sqref>
        </x14:conditionalFormatting>
        <x14:conditionalFormatting xmlns:xm="http://schemas.microsoft.com/office/excel/2006/main">
          <x14:cfRule type="dataBar" id="{2AEF5A5F-D383-4B66-B14A-0BCABDC983BF}">
            <x14:dataBar minLength="0" maxLength="100" border="1" direction="leftToRight" negativeBarColorSameAsPositive="1" axisPosition="none">
              <x14:cfvo type="min"/>
              <x14:cfvo type="max"/>
              <x14:borderColor rgb="FF7030A0"/>
            </x14:dataBar>
          </x14:cfRule>
          <xm:sqref>G10:J10</xm:sqref>
        </x14:conditionalFormatting>
        <x14:conditionalFormatting xmlns:xm="http://schemas.microsoft.com/office/excel/2006/main">
          <x14:cfRule type="dataBar" id="{A8D385D9-D8C4-4199-AA21-F6449FC9C169}">
            <x14:dataBar minLength="0" maxLength="100" border="1" direction="leftToRight" negativeBarColorSameAsPositive="1" axisPosition="none">
              <x14:cfvo type="min"/>
              <x14:cfvo type="max"/>
              <x14:borderColor rgb="FF2E8B8B"/>
            </x14:dataBar>
          </x14:cfRule>
          <xm:sqref>J6:J10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441F-B74D-4288-8680-0E45C6892BE2}">
  <dimension ref="B1:K26"/>
  <sheetViews>
    <sheetView topLeftCell="C1" workbookViewId="0">
      <selection activeCell="G7" sqref="G7:J14"/>
    </sheetView>
  </sheetViews>
  <sheetFormatPr defaultRowHeight="14.4" x14ac:dyDescent="0.3"/>
  <cols>
    <col min="1" max="1" width="0" hidden="1" customWidth="1"/>
    <col min="2" max="2" width="27.6640625" customWidth="1"/>
    <col min="3" max="10" width="15.77734375" customWidth="1"/>
    <col min="11" max="11" width="9.33203125" customWidth="1"/>
  </cols>
  <sheetData>
    <row r="1" spans="2:11" ht="30" customHeight="1" x14ac:dyDescent="0.35">
      <c r="B1" s="246" t="s">
        <v>63</v>
      </c>
      <c r="C1" s="247"/>
      <c r="D1" s="247"/>
      <c r="E1" s="247"/>
      <c r="F1" s="247"/>
      <c r="G1" s="247"/>
      <c r="H1" s="247"/>
      <c r="I1" s="247"/>
      <c r="J1" s="247"/>
      <c r="K1" s="247"/>
    </row>
    <row r="2" spans="2:11" x14ac:dyDescent="0.3">
      <c r="B2" s="248" t="s">
        <v>64</v>
      </c>
      <c r="C2" s="247"/>
      <c r="D2" s="247"/>
      <c r="E2" s="247"/>
      <c r="F2" s="247"/>
      <c r="G2" s="247"/>
      <c r="H2" s="247"/>
      <c r="I2" s="247"/>
      <c r="J2" s="247"/>
      <c r="K2" s="247"/>
    </row>
    <row r="4" spans="2:11" x14ac:dyDescent="0.3">
      <c r="B4" s="10" t="s">
        <v>0</v>
      </c>
      <c r="C4" s="10" t="s">
        <v>65</v>
      </c>
      <c r="D4" s="10" t="s">
        <v>66</v>
      </c>
      <c r="E4" s="10" t="s">
        <v>67</v>
      </c>
      <c r="F4" s="10" t="s">
        <v>68</v>
      </c>
      <c r="G4" s="10" t="s">
        <v>69</v>
      </c>
      <c r="H4" s="10" t="s">
        <v>70</v>
      </c>
      <c r="I4" s="10" t="s">
        <v>71</v>
      </c>
      <c r="J4" s="10" t="s">
        <v>72</v>
      </c>
      <c r="K4" s="10" t="s">
        <v>12</v>
      </c>
    </row>
    <row r="5" spans="2:11" x14ac:dyDescent="0.3">
      <c r="B5" s="11" t="s">
        <v>25</v>
      </c>
      <c r="C5" s="12">
        <v>123104</v>
      </c>
      <c r="D5" s="12">
        <v>146463</v>
      </c>
      <c r="E5" s="12">
        <v>156949</v>
      </c>
      <c r="F5" s="12">
        <v>164177</v>
      </c>
      <c r="G5" s="12">
        <v>191754</v>
      </c>
      <c r="H5" s="12">
        <v>225458</v>
      </c>
      <c r="I5" s="12">
        <v>240893</v>
      </c>
      <c r="J5" s="12">
        <v>255324</v>
      </c>
      <c r="K5" s="11" t="s">
        <v>2</v>
      </c>
    </row>
    <row r="6" spans="2:11" x14ac:dyDescent="0.3">
      <c r="B6" s="13" t="s">
        <v>26</v>
      </c>
      <c r="C6" s="14">
        <v>33800</v>
      </c>
      <c r="D6" s="14">
        <v>37450</v>
      </c>
      <c r="E6" s="14">
        <v>40520</v>
      </c>
      <c r="F6" s="14">
        <v>49680</v>
      </c>
      <c r="G6" s="14">
        <v>57075</v>
      </c>
      <c r="H6" s="14">
        <v>62708</v>
      </c>
      <c r="I6" s="14">
        <v>68718</v>
      </c>
      <c r="J6" s="14">
        <v>71369</v>
      </c>
      <c r="K6" s="13" t="s">
        <v>2</v>
      </c>
    </row>
    <row r="7" spans="2:11" x14ac:dyDescent="0.3">
      <c r="B7" s="11" t="s">
        <v>28</v>
      </c>
      <c r="C7" s="12">
        <v>29500</v>
      </c>
      <c r="D7" s="12">
        <v>32700</v>
      </c>
      <c r="E7" s="12">
        <v>35550</v>
      </c>
      <c r="F7" s="12">
        <v>45615</v>
      </c>
      <c r="G7" s="12">
        <v>52471</v>
      </c>
      <c r="H7" s="12">
        <v>57686</v>
      </c>
      <c r="I7" s="12">
        <v>63733</v>
      </c>
      <c r="J7" s="12">
        <v>66135</v>
      </c>
      <c r="K7" s="11" t="s">
        <v>2</v>
      </c>
    </row>
    <row r="8" spans="2:11" x14ac:dyDescent="0.3">
      <c r="B8" s="61" t="s">
        <v>308</v>
      </c>
      <c r="C8" s="83">
        <v>4826</v>
      </c>
      <c r="D8" s="83">
        <v>7572</v>
      </c>
      <c r="E8" s="83">
        <v>5790</v>
      </c>
      <c r="F8" s="83">
        <v>2947</v>
      </c>
      <c r="G8" s="83">
        <v>3478</v>
      </c>
      <c r="H8" s="83">
        <v>3617</v>
      </c>
      <c r="I8" s="83">
        <v>3366</v>
      </c>
      <c r="J8" s="83">
        <v>3670</v>
      </c>
      <c r="K8" s="61" t="s">
        <v>322</v>
      </c>
    </row>
    <row r="9" spans="2:11" x14ac:dyDescent="0.3">
      <c r="B9" s="13" t="s">
        <v>29</v>
      </c>
      <c r="C9" s="14">
        <v>25826</v>
      </c>
      <c r="D9" s="14">
        <v>31472</v>
      </c>
      <c r="E9" s="14">
        <v>32340</v>
      </c>
      <c r="F9" s="14">
        <v>32562</v>
      </c>
      <c r="G9" s="14">
        <v>38449</v>
      </c>
      <c r="H9" s="14">
        <v>42303</v>
      </c>
      <c r="I9" s="14">
        <v>46099</v>
      </c>
      <c r="J9" s="14">
        <v>48797</v>
      </c>
      <c r="K9" s="13" t="s">
        <v>2</v>
      </c>
    </row>
    <row r="10" spans="2:11" x14ac:dyDescent="0.3">
      <c r="B10" s="11" t="s">
        <v>310</v>
      </c>
      <c r="C10" s="12">
        <v>67.099999999999994</v>
      </c>
      <c r="D10" s="12">
        <v>83.05</v>
      </c>
      <c r="E10" s="12">
        <v>85.5</v>
      </c>
      <c r="F10" s="12">
        <v>87.67</v>
      </c>
      <c r="G10" s="12">
        <v>104.75</v>
      </c>
      <c r="H10" s="12">
        <v>115.19</v>
      </c>
      <c r="I10" s="12">
        <v>126.88</v>
      </c>
      <c r="J10" s="12">
        <v>134.19999999999999</v>
      </c>
      <c r="K10" s="11" t="s">
        <v>311</v>
      </c>
    </row>
    <row r="11" spans="2:11" x14ac:dyDescent="0.3">
      <c r="B11" s="13" t="s">
        <v>73</v>
      </c>
      <c r="C11" s="14">
        <v>385</v>
      </c>
      <c r="D11" s="14">
        <v>379</v>
      </c>
      <c r="E11" s="14">
        <v>378</v>
      </c>
      <c r="F11" s="14">
        <v>371</v>
      </c>
      <c r="G11" s="14">
        <v>367</v>
      </c>
      <c r="H11" s="14">
        <v>367</v>
      </c>
      <c r="I11" s="14">
        <v>363</v>
      </c>
      <c r="J11" s="14">
        <v>362</v>
      </c>
      <c r="K11" s="13" t="s">
        <v>2</v>
      </c>
    </row>
    <row r="12" spans="2:11" x14ac:dyDescent="0.3">
      <c r="B12" s="11" t="s">
        <v>74</v>
      </c>
      <c r="C12" s="12">
        <v>394998</v>
      </c>
      <c r="D12" s="12">
        <v>424285</v>
      </c>
      <c r="E12" s="12">
        <v>448464</v>
      </c>
      <c r="F12" s="12">
        <v>488649</v>
      </c>
      <c r="G12" s="12">
        <v>556986</v>
      </c>
      <c r="H12" s="12">
        <v>614795</v>
      </c>
      <c r="I12" s="12">
        <v>601546</v>
      </c>
      <c r="J12" s="12">
        <v>607979</v>
      </c>
      <c r="K12" s="11" t="s">
        <v>75</v>
      </c>
    </row>
    <row r="13" spans="2:11" x14ac:dyDescent="0.3">
      <c r="B13" s="15" t="s">
        <v>76</v>
      </c>
      <c r="C13" s="16">
        <f t="shared" ref="C13:J13" si="0">C6/C5</f>
        <v>0.27456459578892645</v>
      </c>
      <c r="D13" s="16">
        <f t="shared" si="0"/>
        <v>0.2556959778237507</v>
      </c>
      <c r="E13" s="16">
        <f t="shared" si="0"/>
        <v>0.25817303710122397</v>
      </c>
      <c r="F13" s="16">
        <f t="shared" si="0"/>
        <v>0.30260024242128924</v>
      </c>
      <c r="G13" s="16">
        <f t="shared" si="0"/>
        <v>0.29764698519978722</v>
      </c>
      <c r="H13" s="16">
        <f t="shared" si="0"/>
        <v>0.27813606081842296</v>
      </c>
      <c r="I13" s="16">
        <f t="shared" si="0"/>
        <v>0.28526358175621541</v>
      </c>
      <c r="J13" s="16">
        <f t="shared" si="0"/>
        <v>0.27952327239115793</v>
      </c>
      <c r="K13" s="15" t="s">
        <v>14</v>
      </c>
    </row>
    <row r="14" spans="2:11" x14ac:dyDescent="0.3">
      <c r="B14" s="15" t="s">
        <v>77</v>
      </c>
      <c r="C14" s="16">
        <f t="shared" ref="C14:J14" si="1">C9/C5</f>
        <v>0.20979009617884065</v>
      </c>
      <c r="D14" s="16">
        <f t="shared" si="1"/>
        <v>0.21488020865338003</v>
      </c>
      <c r="E14" s="16">
        <f t="shared" si="1"/>
        <v>0.20605419594900254</v>
      </c>
      <c r="F14" s="16">
        <f t="shared" si="1"/>
        <v>0.19833472410873632</v>
      </c>
      <c r="G14" s="16">
        <f t="shared" si="1"/>
        <v>0.20051211448001086</v>
      </c>
      <c r="H14" s="16">
        <f t="shared" si="1"/>
        <v>0.18763139919630265</v>
      </c>
      <c r="I14" s="16">
        <f t="shared" si="1"/>
        <v>0.19136712150207769</v>
      </c>
      <c r="J14" s="16">
        <f t="shared" si="1"/>
        <v>0.19111795209224358</v>
      </c>
      <c r="K14" s="15" t="s">
        <v>14</v>
      </c>
    </row>
    <row r="15" spans="2:11" x14ac:dyDescent="0.3">
      <c r="B15" s="15" t="s">
        <v>78</v>
      </c>
      <c r="C15" s="16" t="s">
        <v>79</v>
      </c>
      <c r="D15" s="16">
        <f t="shared" ref="D15:J15" si="2">(D5-C5)/C5</f>
        <v>0.18975012997140628</v>
      </c>
      <c r="E15" s="16">
        <f t="shared" si="2"/>
        <v>7.1594873790650201E-2</v>
      </c>
      <c r="F15" s="16">
        <f t="shared" si="2"/>
        <v>4.60531765095668E-2</v>
      </c>
      <c r="G15" s="16">
        <f t="shared" si="2"/>
        <v>0.16797115308478044</v>
      </c>
      <c r="H15" s="16">
        <f t="shared" si="2"/>
        <v>0.17576686796624844</v>
      </c>
      <c r="I15" s="16">
        <f t="shared" si="2"/>
        <v>6.8460644554639891E-2</v>
      </c>
      <c r="J15" s="16">
        <f t="shared" si="2"/>
        <v>5.9906265437351856E-2</v>
      </c>
      <c r="K15" s="15" t="s">
        <v>14</v>
      </c>
    </row>
    <row r="16" spans="2:11" x14ac:dyDescent="0.3">
      <c r="B16" s="9" t="s">
        <v>27</v>
      </c>
      <c r="C16" s="84">
        <v>4300</v>
      </c>
      <c r="D16" s="84">
        <v>4750</v>
      </c>
      <c r="E16" s="84">
        <v>4970</v>
      </c>
      <c r="F16" s="84">
        <v>4065</v>
      </c>
      <c r="G16" s="84">
        <v>4604</v>
      </c>
      <c r="H16" s="84">
        <v>5022</v>
      </c>
      <c r="I16" s="84">
        <v>4985</v>
      </c>
      <c r="J16" s="84">
        <v>5234</v>
      </c>
      <c r="K16" s="8" t="s">
        <v>2</v>
      </c>
    </row>
    <row r="17" spans="2:11" x14ac:dyDescent="0.3">
      <c r="B17" s="9" t="s">
        <v>307</v>
      </c>
      <c r="C17" s="84">
        <v>6702</v>
      </c>
      <c r="D17" s="84">
        <v>6463</v>
      </c>
      <c r="E17" s="84">
        <v>6113</v>
      </c>
      <c r="F17" s="84">
        <v>5254</v>
      </c>
      <c r="G17" s="84">
        <v>5556</v>
      </c>
      <c r="H17" s="84">
        <v>6328</v>
      </c>
      <c r="I17" s="84">
        <v>5857</v>
      </c>
      <c r="J17" s="84">
        <v>6255</v>
      </c>
      <c r="K17" s="8" t="s">
        <v>2</v>
      </c>
    </row>
    <row r="18" spans="2:11" x14ac:dyDescent="0.3">
      <c r="B18" s="70" t="s">
        <v>238</v>
      </c>
      <c r="C18" s="71">
        <f t="shared" ref="C18:J18" si="3">C9+C16-C17</f>
        <v>23424</v>
      </c>
      <c r="D18" s="71">
        <f t="shared" si="3"/>
        <v>29759</v>
      </c>
      <c r="E18" s="71">
        <f t="shared" si="3"/>
        <v>31197</v>
      </c>
      <c r="F18" s="71">
        <f t="shared" si="3"/>
        <v>31373</v>
      </c>
      <c r="G18" s="71">
        <f t="shared" si="3"/>
        <v>37497</v>
      </c>
      <c r="H18" s="71">
        <f t="shared" si="3"/>
        <v>40997</v>
      </c>
      <c r="I18" s="71">
        <f t="shared" si="3"/>
        <v>45227</v>
      </c>
      <c r="J18" s="71">
        <f t="shared" si="3"/>
        <v>47776</v>
      </c>
      <c r="K18" s="72" t="s">
        <v>321</v>
      </c>
    </row>
    <row r="19" spans="2:11" x14ac:dyDescent="0.3">
      <c r="B19" s="249" t="s">
        <v>80</v>
      </c>
      <c r="C19" s="247"/>
      <c r="D19" s="247"/>
      <c r="E19" s="247"/>
    </row>
    <row r="20" spans="2:11" x14ac:dyDescent="0.3">
      <c r="B20" s="5" t="s">
        <v>21</v>
      </c>
      <c r="C20" s="5" t="s">
        <v>81</v>
      </c>
      <c r="D20" s="5" t="s">
        <v>82</v>
      </c>
      <c r="E20" s="5" t="s">
        <v>46</v>
      </c>
    </row>
    <row r="21" spans="2:11" x14ac:dyDescent="0.3">
      <c r="B21" s="6" t="s">
        <v>83</v>
      </c>
      <c r="C21" s="7">
        <f>(J5/C5)^(1/7)-1</f>
        <v>0.10983885445186425</v>
      </c>
      <c r="D21" s="7">
        <f>(J5/G5)^(1/3)-1</f>
        <v>0.10014282114946793</v>
      </c>
      <c r="E21" s="6" t="str">
        <f>IF(C21&gt;0.05,"🟢 Strong",IF(C21&gt;0,"🟡 Moderate","🔴 Declining"))</f>
        <v>🟢 Strong</v>
      </c>
    </row>
    <row r="22" spans="2:11" x14ac:dyDescent="0.3">
      <c r="B22" s="6" t="s">
        <v>84</v>
      </c>
      <c r="C22" s="7">
        <f>(J9/C9)^(1/7)-1</f>
        <v>9.5157465478172165E-2</v>
      </c>
      <c r="D22" s="7">
        <f>(J9/G9)^(1/3)-1</f>
        <v>8.2686424378437762E-2</v>
      </c>
      <c r="E22" s="6" t="str">
        <f>IF(C22&gt;0.05,"🟢 Strong",IF(C22&gt;0,"🟡 Moderate","🔴 Declining"))</f>
        <v>🟢 Strong</v>
      </c>
    </row>
    <row r="23" spans="2:11" x14ac:dyDescent="0.3">
      <c r="B23" s="6" t="s">
        <v>85</v>
      </c>
      <c r="C23" s="7">
        <f>(J10/C10)^(1/7)-1</f>
        <v>0.10408951367381225</v>
      </c>
      <c r="D23" s="7">
        <f>(J10/G10)^(1/3)-1</f>
        <v>8.6090866235640107E-2</v>
      </c>
      <c r="E23" s="6" t="str">
        <f>IF(C23&gt;0.05,"🟢 Strong",IF(C23&gt;0,"🟡 Moderate","🔴 Declining"))</f>
        <v>🟢 Strong</v>
      </c>
    </row>
    <row r="25" spans="2:11" x14ac:dyDescent="0.3">
      <c r="B25" s="250" t="s">
        <v>323</v>
      </c>
      <c r="C25" s="250"/>
      <c r="D25" s="250"/>
      <c r="E25" s="250"/>
      <c r="F25" s="250"/>
      <c r="G25" s="250"/>
      <c r="H25" s="250"/>
      <c r="I25" s="250"/>
      <c r="J25" s="250"/>
      <c r="K25" s="250"/>
    </row>
    <row r="26" spans="2:11" x14ac:dyDescent="0.3">
      <c r="B26" s="250" t="s">
        <v>312</v>
      </c>
      <c r="C26" s="251"/>
      <c r="D26" s="251"/>
      <c r="E26" s="251"/>
      <c r="F26" s="251"/>
      <c r="G26" s="251"/>
      <c r="H26" s="251"/>
      <c r="I26" s="251"/>
      <c r="J26" s="251"/>
      <c r="K26" s="251"/>
    </row>
  </sheetData>
  <mergeCells count="5">
    <mergeCell ref="B1:K1"/>
    <mergeCell ref="B2:K2"/>
    <mergeCell ref="B19:E19"/>
    <mergeCell ref="B25:K25"/>
    <mergeCell ref="B26:K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D850-5F1D-4158-8BF0-7862C2AB211F}">
  <dimension ref="A1:N35"/>
  <sheetViews>
    <sheetView topLeftCell="B1" zoomScale="98" zoomScaleNormal="98" workbookViewId="0">
      <selection activeCell="C5" sqref="C5"/>
    </sheetView>
  </sheetViews>
  <sheetFormatPr defaultRowHeight="14.4" x14ac:dyDescent="0.3"/>
  <cols>
    <col min="1" max="1" width="1.21875" hidden="1" customWidth="1"/>
    <col min="2" max="2" width="27.6640625" customWidth="1"/>
    <col min="3" max="5" width="18.5546875" customWidth="1"/>
    <col min="6" max="6" width="9.33203125" customWidth="1"/>
    <col min="7" max="7" width="33.33203125" customWidth="1"/>
  </cols>
  <sheetData>
    <row r="1" spans="2:14" ht="30" customHeight="1" x14ac:dyDescent="0.35">
      <c r="B1" s="253" t="s">
        <v>86</v>
      </c>
      <c r="C1" s="247"/>
      <c r="D1" s="247"/>
      <c r="E1" s="247"/>
      <c r="F1" s="247"/>
      <c r="G1" s="247"/>
      <c r="H1" s="247"/>
    </row>
    <row r="3" spans="2:14" x14ac:dyDescent="0.3">
      <c r="B3" s="254" t="s">
        <v>87</v>
      </c>
      <c r="C3" s="247"/>
      <c r="D3" s="247"/>
    </row>
    <row r="5" spans="2:14" x14ac:dyDescent="0.3">
      <c r="B5" s="1" t="s">
        <v>88</v>
      </c>
      <c r="C5" s="17" t="str">
        <f>Dashboard!C5</f>
        <v>Bear</v>
      </c>
      <c r="D5" s="3"/>
      <c r="E5" s="88" t="s">
        <v>333</v>
      </c>
      <c r="F5" s="88">
        <f>MATCH(C5,{"Base","Bull","Bear"},0)</f>
        <v>3</v>
      </c>
    </row>
    <row r="8" spans="2:14" x14ac:dyDescent="0.3">
      <c r="B8" s="255" t="s">
        <v>89</v>
      </c>
      <c r="C8" s="247"/>
      <c r="D8" s="247"/>
      <c r="E8" s="247"/>
      <c r="F8" s="247"/>
      <c r="G8" s="247"/>
    </row>
    <row r="9" spans="2:14" x14ac:dyDescent="0.3">
      <c r="B9" s="21" t="s">
        <v>8</v>
      </c>
      <c r="C9" s="80" t="s">
        <v>9</v>
      </c>
      <c r="D9" s="81" t="s">
        <v>10</v>
      </c>
      <c r="E9" s="82" t="s">
        <v>11</v>
      </c>
      <c r="F9" s="21" t="s">
        <v>12</v>
      </c>
      <c r="G9" s="21" t="s">
        <v>13</v>
      </c>
    </row>
    <row r="10" spans="2:14" x14ac:dyDescent="0.3">
      <c r="B10" s="2" t="s">
        <v>17</v>
      </c>
      <c r="C10" s="22">
        <v>0.08</v>
      </c>
      <c r="D10" s="23">
        <v>0.12</v>
      </c>
      <c r="E10" s="24">
        <v>0.04</v>
      </c>
      <c r="F10" s="2" t="s">
        <v>14</v>
      </c>
      <c r="G10" s="2" t="s">
        <v>90</v>
      </c>
    </row>
    <row r="11" spans="2:14" x14ac:dyDescent="0.3">
      <c r="B11" s="2" t="s">
        <v>18</v>
      </c>
      <c r="C11" s="22">
        <v>8.5000000000000006E-2</v>
      </c>
      <c r="D11" s="23">
        <v>0.13</v>
      </c>
      <c r="E11" s="24">
        <v>4.4999999999999998E-2</v>
      </c>
      <c r="F11" s="2" t="s">
        <v>14</v>
      </c>
      <c r="G11" s="2" t="s">
        <v>91</v>
      </c>
    </row>
    <row r="12" spans="2:14" x14ac:dyDescent="0.3">
      <c r="B12" s="2" t="s">
        <v>19</v>
      </c>
      <c r="C12" s="22">
        <v>0.09</v>
      </c>
      <c r="D12" s="23">
        <v>0.14000000000000001</v>
      </c>
      <c r="E12" s="24">
        <v>0.05</v>
      </c>
      <c r="F12" s="2" t="s">
        <v>14</v>
      </c>
      <c r="G12" s="2" t="s">
        <v>92</v>
      </c>
    </row>
    <row r="13" spans="2:14" x14ac:dyDescent="0.3">
      <c r="B13" s="2" t="s">
        <v>357</v>
      </c>
      <c r="C13" s="22">
        <v>0.28000000000000003</v>
      </c>
      <c r="D13" s="23">
        <v>0.3</v>
      </c>
      <c r="E13" s="24">
        <v>0.255</v>
      </c>
      <c r="F13" s="2" t="s">
        <v>14</v>
      </c>
      <c r="G13" s="2" t="s">
        <v>358</v>
      </c>
      <c r="H13" s="85"/>
      <c r="I13" s="85"/>
      <c r="J13" s="85"/>
      <c r="K13" s="85"/>
      <c r="L13" s="85"/>
      <c r="M13" s="85"/>
      <c r="N13" s="85"/>
    </row>
    <row r="14" spans="2:14" x14ac:dyDescent="0.3">
      <c r="B14" s="69" t="s">
        <v>359</v>
      </c>
      <c r="C14" s="89">
        <v>0.28199999999999997</v>
      </c>
      <c r="D14" s="89">
        <v>0.30499999999999999</v>
      </c>
      <c r="E14" s="89">
        <v>0.25700000000000001</v>
      </c>
      <c r="F14" s="69" t="s">
        <v>14</v>
      </c>
      <c r="G14" s="69" t="s">
        <v>360</v>
      </c>
      <c r="H14" s="85"/>
      <c r="I14" s="85"/>
      <c r="J14" s="85"/>
      <c r="K14" s="85"/>
      <c r="L14" s="85"/>
      <c r="M14" s="85"/>
      <c r="N14" s="85"/>
    </row>
    <row r="15" spans="2:14" x14ac:dyDescent="0.3">
      <c r="B15" s="69" t="s">
        <v>361</v>
      </c>
      <c r="C15" s="89">
        <v>0.28499999999999998</v>
      </c>
      <c r="D15" s="89">
        <v>0.31</v>
      </c>
      <c r="E15" s="89">
        <v>0.26</v>
      </c>
      <c r="F15" s="69" t="s">
        <v>14</v>
      </c>
      <c r="G15" s="69" t="s">
        <v>362</v>
      </c>
      <c r="H15" s="85"/>
      <c r="I15" s="85"/>
      <c r="J15" s="85"/>
      <c r="K15" s="85"/>
      <c r="L15" s="85"/>
      <c r="M15" s="85"/>
      <c r="N15" s="85"/>
    </row>
    <row r="16" spans="2:14" x14ac:dyDescent="0.3">
      <c r="B16" s="2" t="s">
        <v>332</v>
      </c>
      <c r="C16" s="22">
        <v>0.193</v>
      </c>
      <c r="D16" s="23">
        <v>0.19800000000000001</v>
      </c>
      <c r="E16" s="24">
        <v>0.17499999999999999</v>
      </c>
      <c r="F16" s="2" t="s">
        <v>14</v>
      </c>
      <c r="G16" s="2" t="s">
        <v>331</v>
      </c>
      <c r="H16" s="85"/>
      <c r="I16" s="85"/>
      <c r="J16" s="85"/>
      <c r="K16" s="85"/>
      <c r="L16" s="85"/>
      <c r="M16" s="85"/>
      <c r="N16" s="85"/>
    </row>
    <row r="17" spans="2:7" x14ac:dyDescent="0.3">
      <c r="B17" s="2" t="s">
        <v>15</v>
      </c>
      <c r="C17" s="22">
        <v>0.255</v>
      </c>
      <c r="D17" s="23">
        <v>0.25</v>
      </c>
      <c r="E17" s="24">
        <v>0.26</v>
      </c>
      <c r="F17" s="2" t="s">
        <v>14</v>
      </c>
      <c r="G17" s="2" t="s">
        <v>93</v>
      </c>
    </row>
    <row r="18" spans="2:7" x14ac:dyDescent="0.3">
      <c r="B18" s="2" t="s">
        <v>94</v>
      </c>
      <c r="C18" s="22">
        <v>2.1000000000000001E-2</v>
      </c>
      <c r="D18" s="23">
        <v>0.02</v>
      </c>
      <c r="E18" s="24">
        <v>2.1999999999999999E-2</v>
      </c>
      <c r="F18" s="2" t="s">
        <v>14</v>
      </c>
      <c r="G18" s="2" t="s">
        <v>95</v>
      </c>
    </row>
    <row r="19" spans="2:7" x14ac:dyDescent="0.3">
      <c r="B19" s="2" t="s">
        <v>7</v>
      </c>
      <c r="C19" s="25">
        <v>362</v>
      </c>
      <c r="D19" s="26">
        <v>362</v>
      </c>
      <c r="E19" s="27">
        <v>362</v>
      </c>
      <c r="F19" s="2" t="s">
        <v>2</v>
      </c>
      <c r="G19" s="2" t="s">
        <v>96</v>
      </c>
    </row>
    <row r="21" spans="2:7" x14ac:dyDescent="0.3">
      <c r="B21" s="256" t="s">
        <v>97</v>
      </c>
      <c r="C21" s="247"/>
      <c r="D21" s="247"/>
    </row>
    <row r="22" spans="2:7" x14ac:dyDescent="0.3">
      <c r="B22" s="28" t="s">
        <v>8</v>
      </c>
      <c r="C22" s="28" t="s">
        <v>16</v>
      </c>
      <c r="D22" s="28" t="s">
        <v>12</v>
      </c>
    </row>
    <row r="23" spans="2:7" x14ac:dyDescent="0.3">
      <c r="B23" s="18" t="s">
        <v>17</v>
      </c>
      <c r="C23" s="19">
        <f>IF(Dashboard!$C$6&lt;&gt;0,Dashboard!$C$6,CHOOSE($F$5,C10,D10,E10))</f>
        <v>0.04</v>
      </c>
      <c r="D23" s="18" t="s">
        <v>14</v>
      </c>
      <c r="G23" s="3"/>
    </row>
    <row r="24" spans="2:7" x14ac:dyDescent="0.3">
      <c r="B24" s="18" t="s">
        <v>18</v>
      </c>
      <c r="C24" s="19">
        <f>IF(Dashboard!$C$6&lt;&gt;0,Dashboard!$C$6,CHOOSE($F$5,C11,D11,E11))</f>
        <v>4.4999999999999998E-2</v>
      </c>
      <c r="D24" s="18" t="s">
        <v>14</v>
      </c>
    </row>
    <row r="25" spans="2:7" x14ac:dyDescent="0.3">
      <c r="B25" s="18" t="s">
        <v>19</v>
      </c>
      <c r="C25" s="19">
        <f>IF(Dashboard!$C$6&lt;&gt;0,Dashboard!$C$6,CHOOSE($F$5,C12,D12,E12))</f>
        <v>0.05</v>
      </c>
      <c r="D25" s="18" t="s">
        <v>14</v>
      </c>
    </row>
    <row r="26" spans="2:7" x14ac:dyDescent="0.3">
      <c r="B26" s="18" t="s">
        <v>357</v>
      </c>
      <c r="C26" s="19">
        <f t="shared" ref="C26:C32" si="0">CHOOSE($F$5,C13,D13,E13)</f>
        <v>0.255</v>
      </c>
      <c r="D26" s="18" t="s">
        <v>14</v>
      </c>
    </row>
    <row r="27" spans="2:7" x14ac:dyDescent="0.3">
      <c r="B27" s="90" t="s">
        <v>359</v>
      </c>
      <c r="C27" s="91">
        <f t="shared" si="0"/>
        <v>0.25700000000000001</v>
      </c>
      <c r="D27" s="90" t="s">
        <v>14</v>
      </c>
    </row>
    <row r="28" spans="2:7" x14ac:dyDescent="0.3">
      <c r="B28" s="90" t="s">
        <v>361</v>
      </c>
      <c r="C28" s="91">
        <f t="shared" si="0"/>
        <v>0.26</v>
      </c>
      <c r="D28" s="90" t="s">
        <v>14</v>
      </c>
    </row>
    <row r="29" spans="2:7" x14ac:dyDescent="0.3">
      <c r="B29" s="18" t="s">
        <v>243</v>
      </c>
      <c r="C29" s="19">
        <f t="shared" si="0"/>
        <v>0.17499999999999999</v>
      </c>
      <c r="D29" s="18" t="s">
        <v>14</v>
      </c>
    </row>
    <row r="30" spans="2:7" x14ac:dyDescent="0.3">
      <c r="B30" s="18" t="s">
        <v>15</v>
      </c>
      <c r="C30" s="19">
        <f t="shared" si="0"/>
        <v>0.26</v>
      </c>
      <c r="D30" s="18" t="s">
        <v>14</v>
      </c>
    </row>
    <row r="31" spans="2:7" x14ac:dyDescent="0.3">
      <c r="B31" s="18" t="s">
        <v>98</v>
      </c>
      <c r="C31" s="19">
        <f t="shared" si="0"/>
        <v>2.1999999999999999E-2</v>
      </c>
      <c r="D31" s="18" t="s">
        <v>14</v>
      </c>
    </row>
    <row r="32" spans="2:7" x14ac:dyDescent="0.3">
      <c r="B32" s="18" t="s">
        <v>73</v>
      </c>
      <c r="C32" s="20">
        <f t="shared" si="0"/>
        <v>362</v>
      </c>
      <c r="D32" s="18" t="s">
        <v>2</v>
      </c>
    </row>
    <row r="33" spans="2:7" x14ac:dyDescent="0.3">
      <c r="B33" s="257" t="s">
        <v>363</v>
      </c>
      <c r="C33" s="258"/>
      <c r="D33" s="258"/>
      <c r="E33" s="258"/>
      <c r="F33" s="258"/>
      <c r="G33" s="258"/>
    </row>
    <row r="34" spans="2:7" x14ac:dyDescent="0.3">
      <c r="B34" s="18" t="s">
        <v>302</v>
      </c>
      <c r="C34" s="19" t="str">
        <f>IF(Dashboard!C6&lt;&gt;0,"🟠 CUSTOM ("&amp;TEXT(Dashboard!C6,"0.0%")&amp;")","🟢 "&amp;C5&amp;" Case")</f>
        <v>🟢 Bear Case</v>
      </c>
      <c r="D34" s="18" t="s">
        <v>14</v>
      </c>
    </row>
    <row r="35" spans="2:7" x14ac:dyDescent="0.3">
      <c r="B35" s="252" t="s">
        <v>324</v>
      </c>
      <c r="C35" s="252"/>
      <c r="D35" s="252"/>
      <c r="E35" s="252"/>
      <c r="F35" s="252"/>
      <c r="G35" s="252"/>
    </row>
  </sheetData>
  <mergeCells count="6">
    <mergeCell ref="B35:G35"/>
    <mergeCell ref="B1:H1"/>
    <mergeCell ref="B3:D3"/>
    <mergeCell ref="B8:G8"/>
    <mergeCell ref="B21:D21"/>
    <mergeCell ref="B33:G33"/>
  </mergeCells>
  <dataValidations count="1">
    <dataValidation type="list" allowBlank="1" showInputMessage="1" showErrorMessage="1" sqref="C5" xr:uid="{D5213EA7-12D7-401B-B3F2-B5B4C552619F}">
      <formula1>"Base,Bull,Bear"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26EE-996F-4FE7-B39E-4542B637071D}">
  <dimension ref="B1:H37"/>
  <sheetViews>
    <sheetView topLeftCell="B1" zoomScaleNormal="100" workbookViewId="0">
      <selection activeCell="G5" sqref="G5"/>
    </sheetView>
  </sheetViews>
  <sheetFormatPr defaultRowHeight="14.4" x14ac:dyDescent="0.3"/>
  <cols>
    <col min="1" max="1" width="0" hidden="1" customWidth="1"/>
    <col min="2" max="2" width="27.6640625" customWidth="1"/>
    <col min="3" max="6" width="20.33203125" customWidth="1"/>
    <col min="7" max="7" width="29.77734375" customWidth="1"/>
    <col min="8" max="8" width="14.77734375" customWidth="1"/>
  </cols>
  <sheetData>
    <row r="1" spans="2:8" ht="30" customHeight="1" x14ac:dyDescent="0.35">
      <c r="B1" s="260" t="s">
        <v>99</v>
      </c>
      <c r="C1" s="247"/>
      <c r="D1" s="247"/>
      <c r="E1" s="247"/>
      <c r="F1" s="247"/>
      <c r="G1" s="247"/>
      <c r="H1" s="247"/>
    </row>
    <row r="2" spans="2:8" x14ac:dyDescent="0.3">
      <c r="B2" s="261" t="s">
        <v>20</v>
      </c>
      <c r="C2" s="247"/>
      <c r="D2" s="247"/>
      <c r="E2" s="247"/>
      <c r="F2" s="247"/>
      <c r="G2" s="247"/>
      <c r="H2" s="247"/>
    </row>
    <row r="4" spans="2:8" x14ac:dyDescent="0.3">
      <c r="B4" s="262" t="s">
        <v>100</v>
      </c>
      <c r="C4" s="247"/>
      <c r="D4" s="247"/>
      <c r="F4" s="263" t="s">
        <v>106</v>
      </c>
      <c r="G4" s="247"/>
      <c r="H4" s="247"/>
    </row>
    <row r="5" spans="2:8" ht="15.6" x14ac:dyDescent="0.3">
      <c r="B5" s="29" t="s">
        <v>21</v>
      </c>
      <c r="C5" s="29" t="s">
        <v>101</v>
      </c>
      <c r="D5" s="29" t="s">
        <v>22</v>
      </c>
      <c r="F5" s="29" t="s">
        <v>107</v>
      </c>
      <c r="G5" s="32" t="str">
        <f>Assumptions!C5</f>
        <v>Bear</v>
      </c>
    </row>
    <row r="6" spans="2:8" x14ac:dyDescent="0.3">
      <c r="B6" s="30" t="s">
        <v>102</v>
      </c>
      <c r="C6" s="31">
        <f>Historical_Data!J5</f>
        <v>255324</v>
      </c>
      <c r="D6" s="30" t="s">
        <v>23</v>
      </c>
    </row>
    <row r="7" spans="2:8" x14ac:dyDescent="0.3">
      <c r="B7" s="30" t="s">
        <v>103</v>
      </c>
      <c r="C7" s="31">
        <f>Historical_Data!J9</f>
        <v>48797</v>
      </c>
      <c r="D7" s="30" t="s">
        <v>23</v>
      </c>
    </row>
    <row r="8" spans="2:8" x14ac:dyDescent="0.3">
      <c r="B8" s="30" t="s">
        <v>104</v>
      </c>
      <c r="C8" s="31">
        <f>Historical_Data!J10</f>
        <v>134.19999999999999</v>
      </c>
      <c r="D8" s="30" t="s">
        <v>23</v>
      </c>
    </row>
    <row r="9" spans="2:8" x14ac:dyDescent="0.3">
      <c r="B9" s="30" t="s">
        <v>105</v>
      </c>
      <c r="C9" s="31">
        <f>Historical_Data!J6</f>
        <v>71369</v>
      </c>
      <c r="D9" s="30" t="s">
        <v>23</v>
      </c>
    </row>
    <row r="11" spans="2:8" x14ac:dyDescent="0.3">
      <c r="B11" s="264" t="s">
        <v>108</v>
      </c>
      <c r="C11" s="247"/>
      <c r="D11" s="247"/>
      <c r="E11" s="247"/>
      <c r="F11" s="247"/>
      <c r="G11" s="247"/>
      <c r="H11" s="247"/>
    </row>
    <row r="12" spans="2:8" x14ac:dyDescent="0.3">
      <c r="B12" s="34" t="s">
        <v>0</v>
      </c>
      <c r="C12" s="34" t="s">
        <v>24</v>
      </c>
      <c r="D12" s="34" t="s">
        <v>109</v>
      </c>
      <c r="E12" s="34" t="s">
        <v>110</v>
      </c>
      <c r="F12" s="34" t="s">
        <v>111</v>
      </c>
      <c r="G12" s="34" t="s">
        <v>13</v>
      </c>
      <c r="H12" s="34" t="s">
        <v>112</v>
      </c>
    </row>
    <row r="13" spans="2:8" x14ac:dyDescent="0.3">
      <c r="B13" s="35" t="s">
        <v>25</v>
      </c>
      <c r="C13" s="36">
        <f>C6</f>
        <v>255324</v>
      </c>
      <c r="D13" s="36">
        <f>C13*(1+Assumptions!C23)</f>
        <v>265536.96000000002</v>
      </c>
      <c r="E13" s="36">
        <f>D13*(1+Assumptions!C24)</f>
        <v>277486.12320000003</v>
      </c>
      <c r="F13" s="36">
        <f>E13*(1+Assumptions!C25)</f>
        <v>291360.42936000007</v>
      </c>
      <c r="G13" s="2" t="s">
        <v>113</v>
      </c>
      <c r="H13" s="2" t="s">
        <v>114</v>
      </c>
    </row>
    <row r="14" spans="2:8" x14ac:dyDescent="0.3">
      <c r="B14" s="37" t="s">
        <v>56</v>
      </c>
      <c r="C14" s="38">
        <f>Historical_Data!J15</f>
        <v>5.9906265437351856E-2</v>
      </c>
      <c r="D14" s="38">
        <f>Assumptions!C23</f>
        <v>0.04</v>
      </c>
      <c r="E14" s="38">
        <f>Assumptions!C24</f>
        <v>4.4999999999999998E-2</v>
      </c>
      <c r="F14" s="38">
        <f>Assumptions!C25</f>
        <v>0.05</v>
      </c>
      <c r="G14" s="37" t="s">
        <v>115</v>
      </c>
      <c r="H14" s="37" t="s">
        <v>116</v>
      </c>
    </row>
    <row r="15" spans="2:8" x14ac:dyDescent="0.3">
      <c r="B15" s="39" t="s">
        <v>26</v>
      </c>
      <c r="C15" s="36">
        <f>C9</f>
        <v>71369</v>
      </c>
      <c r="D15" s="36">
        <f>D13*D16</f>
        <v>67711.924800000008</v>
      </c>
      <c r="E15" s="36">
        <f>E13*E16</f>
        <v>71313.933662400013</v>
      </c>
      <c r="F15" s="36">
        <f>F13*F16</f>
        <v>75753.711633600018</v>
      </c>
      <c r="G15" s="2" t="s">
        <v>61</v>
      </c>
      <c r="H15" s="2" t="s">
        <v>114</v>
      </c>
    </row>
    <row r="16" spans="2:8" x14ac:dyDescent="0.3">
      <c r="B16" s="37" t="s">
        <v>76</v>
      </c>
      <c r="C16" s="38">
        <f>IF(C13&gt;0,C15/C13,0)</f>
        <v>0.27952327239115793</v>
      </c>
      <c r="D16" s="38">
        <f>Assumptions!$C$26</f>
        <v>0.255</v>
      </c>
      <c r="E16" s="38">
        <f>Assumptions!$C$27</f>
        <v>0.25700000000000001</v>
      </c>
      <c r="F16" s="38">
        <f>Assumptions!$C$28</f>
        <v>0.26</v>
      </c>
      <c r="G16" s="37" t="s">
        <v>115</v>
      </c>
      <c r="H16" s="37" t="s">
        <v>116</v>
      </c>
    </row>
    <row r="17" spans="2:8" x14ac:dyDescent="0.3">
      <c r="B17" s="40" t="s">
        <v>27</v>
      </c>
      <c r="C17" s="41">
        <f>Historical_Data!J6-Historical_Data!J7</f>
        <v>5234</v>
      </c>
      <c r="D17" s="41">
        <f>D13*CHOOSE(Assumptions!$F$5,Assumptions!$C$18,Assumptions!$D$18,Assumptions!$E$18)</f>
        <v>5841.8131199999998</v>
      </c>
      <c r="E17" s="41">
        <f>E13*CHOOSE(Assumptions!$F$5,Assumptions!$C$18,Assumptions!$D$18,Assumptions!$E$18)</f>
        <v>6104.6947104000001</v>
      </c>
      <c r="F17" s="41">
        <f>F13*CHOOSE(Assumptions!$F$5,Assumptions!$C$18,Assumptions!$D$18,Assumptions!$E$18)</f>
        <v>6409.9294459200009</v>
      </c>
      <c r="G17" s="40" t="s">
        <v>117</v>
      </c>
      <c r="H17" s="40" t="s">
        <v>114</v>
      </c>
    </row>
    <row r="18" spans="2:8" x14ac:dyDescent="0.3">
      <c r="B18" s="42" t="s">
        <v>118</v>
      </c>
      <c r="C18" s="36">
        <f>C15-C17</f>
        <v>66135</v>
      </c>
      <c r="D18" s="36">
        <f>D15-D17</f>
        <v>61870.111680000009</v>
      </c>
      <c r="E18" s="36">
        <f>E15-E17</f>
        <v>65209.238952000014</v>
      </c>
      <c r="F18" s="36">
        <f>F15-F17</f>
        <v>69343.782187680015</v>
      </c>
      <c r="G18" s="2" t="s">
        <v>119</v>
      </c>
      <c r="H18" s="2" t="s">
        <v>120</v>
      </c>
    </row>
    <row r="19" spans="2:8" x14ac:dyDescent="0.3">
      <c r="B19" s="40" t="s">
        <v>121</v>
      </c>
      <c r="C19" s="41">
        <f>C18*Assumptions!C30</f>
        <v>17195.100000000002</v>
      </c>
      <c r="D19" s="41">
        <f>D18*CHOOSE(Assumptions!$F$5,Assumptions!$C$17,Assumptions!$D$17,Assumptions!$E$17)</f>
        <v>16086.229036800003</v>
      </c>
      <c r="E19" s="41">
        <f>E18*CHOOSE(Assumptions!$F$5,Assumptions!$C$17,Assumptions!$D$17,Assumptions!$E$17)</f>
        <v>16954.402127520003</v>
      </c>
      <c r="F19" s="41">
        <f>F18*CHOOSE(Assumptions!$F$5,Assumptions!$C$17,Assumptions!$D$17,Assumptions!$E$17)</f>
        <v>18029.383368796804</v>
      </c>
      <c r="G19" s="40" t="s">
        <v>122</v>
      </c>
      <c r="H19" s="40" t="s">
        <v>114</v>
      </c>
    </row>
    <row r="20" spans="2:8" x14ac:dyDescent="0.3">
      <c r="B20" s="43" t="s">
        <v>29</v>
      </c>
      <c r="C20" s="36">
        <f>C7</f>
        <v>48797</v>
      </c>
      <c r="D20" s="36">
        <f>D18-D19</f>
        <v>45783.882643200006</v>
      </c>
      <c r="E20" s="36">
        <f>E18-E19</f>
        <v>48254.836824480008</v>
      </c>
      <c r="F20" s="36">
        <f>F18-F19</f>
        <v>51314.398818883215</v>
      </c>
      <c r="G20" s="2" t="s">
        <v>123</v>
      </c>
      <c r="H20" s="2" t="s">
        <v>120</v>
      </c>
    </row>
    <row r="21" spans="2:8" x14ac:dyDescent="0.3">
      <c r="B21" s="44" t="s">
        <v>77</v>
      </c>
      <c r="C21" s="22">
        <f>IF(C13&gt;0,C20/C13,0)</f>
        <v>0.19111795209224358</v>
      </c>
      <c r="D21" s="22">
        <f>D20/D13</f>
        <v>0.17242000000000002</v>
      </c>
      <c r="E21" s="22">
        <f>E20/E13</f>
        <v>0.1739</v>
      </c>
      <c r="F21" s="22">
        <f>F20/F13</f>
        <v>0.17612</v>
      </c>
      <c r="G21" s="44" t="s">
        <v>124</v>
      </c>
      <c r="H21" s="44" t="s">
        <v>120</v>
      </c>
    </row>
    <row r="22" spans="2:8" x14ac:dyDescent="0.3">
      <c r="B22" s="45" t="s">
        <v>5</v>
      </c>
      <c r="C22" s="46">
        <f>C8</f>
        <v>134.19999999999999</v>
      </c>
      <c r="D22" s="46">
        <f>D20/Assumptions!$C$32</f>
        <v>126.47481393149172</v>
      </c>
      <c r="E22" s="46">
        <f>E20/Assumptions!$C$32</f>
        <v>133.30065421127074</v>
      </c>
      <c r="F22" s="46">
        <f>F20/Assumptions!$C$32</f>
        <v>141.75248292509175</v>
      </c>
      <c r="G22" s="2" t="s">
        <v>62</v>
      </c>
      <c r="H22" s="2" t="s">
        <v>120</v>
      </c>
    </row>
    <row r="24" spans="2:8" x14ac:dyDescent="0.3">
      <c r="B24" s="265" t="s">
        <v>125</v>
      </c>
      <c r="C24" s="247"/>
      <c r="D24" s="247"/>
      <c r="E24" s="247"/>
      <c r="F24" s="247"/>
      <c r="G24" s="247"/>
      <c r="H24" s="247"/>
    </row>
    <row r="25" spans="2:8" x14ac:dyDescent="0.3">
      <c r="B25" s="47" t="s">
        <v>0</v>
      </c>
      <c r="C25" s="47" t="s">
        <v>72</v>
      </c>
      <c r="D25" s="47" t="s">
        <v>109</v>
      </c>
      <c r="E25" s="47" t="s">
        <v>110</v>
      </c>
      <c r="F25" s="47" t="s">
        <v>111</v>
      </c>
    </row>
    <row r="26" spans="2:8" x14ac:dyDescent="0.3">
      <c r="B26" s="2" t="s">
        <v>29</v>
      </c>
      <c r="C26" s="36">
        <f>Historical_Data!J9</f>
        <v>48797</v>
      </c>
      <c r="D26" s="36">
        <f>D20</f>
        <v>45783.882643200006</v>
      </c>
      <c r="E26" s="36">
        <f>E20</f>
        <v>48254.836824480008</v>
      </c>
      <c r="F26" s="36">
        <f>F20</f>
        <v>51314.398818883215</v>
      </c>
    </row>
    <row r="27" spans="2:8" x14ac:dyDescent="0.3">
      <c r="B27" s="48" t="s">
        <v>31</v>
      </c>
      <c r="C27" s="49">
        <f>Historical_Data!J16</f>
        <v>5234</v>
      </c>
      <c r="D27" s="49">
        <f>D17</f>
        <v>5841.8131199999998</v>
      </c>
      <c r="E27" s="49">
        <f>E17</f>
        <v>6104.6947104000001</v>
      </c>
      <c r="F27" s="49">
        <f>F17</f>
        <v>6409.9294459200009</v>
      </c>
    </row>
    <row r="28" spans="2:8" x14ac:dyDescent="0.3">
      <c r="B28" s="40" t="s">
        <v>126</v>
      </c>
      <c r="C28" s="41">
        <f>-Historical_Data!J17</f>
        <v>-6255</v>
      </c>
      <c r="D28" s="41">
        <f>-D13*0.025</f>
        <v>-6638.4240000000009</v>
      </c>
      <c r="E28" s="41">
        <f>-E13*0.025</f>
        <v>-6937.153080000001</v>
      </c>
      <c r="F28" s="41">
        <f>-F13*0.025</f>
        <v>-7284.0107340000022</v>
      </c>
    </row>
    <row r="29" spans="2:8" x14ac:dyDescent="0.3">
      <c r="B29" s="50" t="s">
        <v>32</v>
      </c>
      <c r="C29" s="36">
        <f>Historical_Data!J18</f>
        <v>47776</v>
      </c>
      <c r="D29" s="36">
        <f>D26+D27+D28</f>
        <v>44987.271763200006</v>
      </c>
      <c r="E29" s="36">
        <f>E26+E27+E28</f>
        <v>47422.378454880003</v>
      </c>
      <c r="F29" s="36">
        <f>F26+F27+F28</f>
        <v>50440.317530803215</v>
      </c>
    </row>
    <row r="30" spans="2:8" x14ac:dyDescent="0.3">
      <c r="B30" s="44" t="s">
        <v>127</v>
      </c>
      <c r="C30" s="22">
        <f>IF(C13&gt;0,C29/C13,0)</f>
        <v>0.18711911140355</v>
      </c>
      <c r="D30" s="22">
        <f>D29/D13</f>
        <v>0.16942000000000002</v>
      </c>
      <c r="E30" s="22">
        <f>E29/E13</f>
        <v>0.1709</v>
      </c>
      <c r="F30" s="22">
        <f>F29/F13</f>
        <v>0.17312000000000002</v>
      </c>
    </row>
    <row r="32" spans="2:8" x14ac:dyDescent="0.3">
      <c r="B32" s="259" t="s">
        <v>128</v>
      </c>
      <c r="C32" s="247"/>
      <c r="D32" s="247"/>
      <c r="E32" s="247"/>
      <c r="F32" s="247"/>
      <c r="G32" s="247"/>
      <c r="H32" s="247"/>
    </row>
    <row r="33" spans="2:5" x14ac:dyDescent="0.3">
      <c r="B33" s="51" t="s">
        <v>21</v>
      </c>
      <c r="C33" s="51" t="s">
        <v>129</v>
      </c>
      <c r="D33" s="51" t="s">
        <v>130</v>
      </c>
      <c r="E33" s="51" t="s">
        <v>131</v>
      </c>
    </row>
    <row r="34" spans="2:5" x14ac:dyDescent="0.3">
      <c r="B34" s="52" t="s">
        <v>132</v>
      </c>
      <c r="C34" s="53">
        <f>Assumptions!C23</f>
        <v>0.04</v>
      </c>
      <c r="D34" s="53">
        <f>Assumptions!C24</f>
        <v>4.4999999999999998E-2</v>
      </c>
      <c r="E34" s="53">
        <f>Assumptions!C25</f>
        <v>0.05</v>
      </c>
    </row>
    <row r="35" spans="2:5" x14ac:dyDescent="0.3">
      <c r="B35" s="54" t="s">
        <v>133</v>
      </c>
      <c r="C35" s="55">
        <f>(D20-C20)/C20</f>
        <v>-6.1748004115006951E-2</v>
      </c>
      <c r="D35" s="55">
        <f>(E20-D20)/D20</f>
        <v>5.3969957081545096E-2</v>
      </c>
      <c r="E35" s="55">
        <f>(F20-E20)/E20</f>
        <v>6.3404255319149089E-2</v>
      </c>
    </row>
    <row r="36" spans="2:5" x14ac:dyDescent="0.3">
      <c r="B36" s="52" t="s">
        <v>134</v>
      </c>
      <c r="C36" s="53">
        <f>(D22-C22)/C22</f>
        <v>-5.756472480259512E-2</v>
      </c>
      <c r="D36" s="53">
        <f>(E22-D22)/D22</f>
        <v>5.3969957081545138E-2</v>
      </c>
      <c r="E36" s="53">
        <f>(F22-E22)/E22</f>
        <v>6.3404255319149089E-2</v>
      </c>
    </row>
    <row r="37" spans="2:5" x14ac:dyDescent="0.3">
      <c r="B37" s="54" t="s">
        <v>135</v>
      </c>
      <c r="C37" s="55">
        <f>(D29-C29)/C29</f>
        <v>-5.8370902478231623E-2</v>
      </c>
      <c r="D37" s="55">
        <f>(E29-D29)/D29</f>
        <v>5.4128792350371789E-2</v>
      </c>
      <c r="E37" s="55">
        <f>(F29-E29)/E29</f>
        <v>6.3639555295494685E-2</v>
      </c>
    </row>
  </sheetData>
  <mergeCells count="7">
    <mergeCell ref="B32:H32"/>
    <mergeCell ref="B1:H1"/>
    <mergeCell ref="B2:H2"/>
    <mergeCell ref="B4:D4"/>
    <mergeCell ref="F4:H4"/>
    <mergeCell ref="B11:H11"/>
    <mergeCell ref="B24:H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0A47-EB7D-4C23-9209-7B951C7976A9}">
  <dimension ref="B1:G57"/>
  <sheetViews>
    <sheetView topLeftCell="C1" workbookViewId="0">
      <selection activeCell="B2" sqref="B2:G2"/>
    </sheetView>
  </sheetViews>
  <sheetFormatPr defaultRowHeight="14.4" x14ac:dyDescent="0.3"/>
  <cols>
    <col min="1" max="1" width="0" hidden="1" customWidth="1"/>
    <col min="2" max="2" width="11.109375" customWidth="1"/>
    <col min="3" max="3" width="33.33203125" customWidth="1"/>
    <col min="4" max="4" width="25.77734375" customWidth="1"/>
    <col min="5" max="5" width="14.77734375" customWidth="1"/>
    <col min="6" max="6" width="25.77734375" customWidth="1"/>
    <col min="7" max="7" width="46.21875" customWidth="1"/>
  </cols>
  <sheetData>
    <row r="1" spans="2:7" ht="30" customHeight="1" x14ac:dyDescent="0.35">
      <c r="B1" s="266" t="s">
        <v>136</v>
      </c>
      <c r="C1" s="247"/>
      <c r="D1" s="247"/>
      <c r="E1" s="247"/>
      <c r="F1" s="247"/>
      <c r="G1" s="247"/>
    </row>
    <row r="2" spans="2:7" x14ac:dyDescent="0.3">
      <c r="B2" s="267" t="s">
        <v>137</v>
      </c>
      <c r="C2" s="247"/>
      <c r="D2" s="247"/>
      <c r="E2" s="247"/>
      <c r="F2" s="247"/>
      <c r="G2" s="247"/>
    </row>
    <row r="4" spans="2:7" x14ac:dyDescent="0.3">
      <c r="B4" s="268" t="s">
        <v>138</v>
      </c>
      <c r="C4" s="247"/>
      <c r="D4" s="247"/>
    </row>
    <row r="5" spans="2:7" x14ac:dyDescent="0.3">
      <c r="B5" t="s">
        <v>139</v>
      </c>
      <c r="C5">
        <f>COUNTA(E9:E19)</f>
        <v>11</v>
      </c>
    </row>
    <row r="6" spans="2:7" x14ac:dyDescent="0.3">
      <c r="B6" t="s">
        <v>140</v>
      </c>
      <c r="C6" s="33">
        <f>COUNTIF(E9:E19,"✅ PASS")</f>
        <v>11</v>
      </c>
    </row>
    <row r="7" spans="2:7" x14ac:dyDescent="0.3">
      <c r="B7" t="s">
        <v>141</v>
      </c>
      <c r="C7" s="56">
        <f>COUNTIF(E9:E19,"❌ FAIL")</f>
        <v>0</v>
      </c>
    </row>
    <row r="8" spans="2:7" x14ac:dyDescent="0.3">
      <c r="B8" s="34" t="s">
        <v>43</v>
      </c>
      <c r="C8" s="34" t="s">
        <v>44</v>
      </c>
      <c r="D8" s="34" t="s">
        <v>45</v>
      </c>
      <c r="E8" s="34" t="s">
        <v>142</v>
      </c>
      <c r="F8" s="34" t="s">
        <v>46</v>
      </c>
      <c r="G8" s="34" t="s">
        <v>47</v>
      </c>
    </row>
    <row r="9" spans="2:7" x14ac:dyDescent="0.3">
      <c r="B9" s="57">
        <v>1</v>
      </c>
      <c r="C9" s="57" t="s">
        <v>143</v>
      </c>
      <c r="D9" s="57" t="s">
        <v>48</v>
      </c>
      <c r="E9" s="57" t="str">
        <f>IF(AND(Forecast_Model!D13&gt;0,Forecast_Model!E13&gt;0,Forecast_Model!F13&gt;0),"✅ PASS","❌ FAIL")</f>
        <v>✅ PASS</v>
      </c>
      <c r="F9" s="57"/>
      <c r="G9" s="57" t="str">
        <f>"FY26: "&amp;TEXT(Forecast_Model!D13,"#,##0")&amp;" | FY27: "&amp;TEXT(Forecast_Model!E13,"#,##0")&amp;" | FY28: "&amp;TEXT(Forecast_Model!F13,"#,##0")</f>
        <v>FY26: 2,65,537 | FY27: 2,77,486 | FY28: 2,91,360</v>
      </c>
    </row>
    <row r="10" spans="2:7" x14ac:dyDescent="0.3">
      <c r="B10" s="13">
        <v>2</v>
      </c>
      <c r="C10" s="13" t="s">
        <v>49</v>
      </c>
      <c r="D10" s="13" t="s">
        <v>50</v>
      </c>
      <c r="E10" s="13" t="str">
        <f>IF(AND(Forecast_Model!D20&gt;0,Forecast_Model!E20&gt;0,Forecast_Model!F20&gt;0),"✅ PASS","❌ FAIL")</f>
        <v>✅ PASS</v>
      </c>
      <c r="F10" s="13"/>
      <c r="G10" s="13" t="str">
        <f>"FY26: "&amp;TEXT(Forecast_Model!D20,"#,##0")&amp;" | FY27: "&amp;TEXT(Forecast_Model!E20,"#,##0")&amp;" | FY28: "&amp;TEXT(Forecast_Model!F20,"#,##0")</f>
        <v>FY26: 45,784 | FY27: 48,255 | FY28: 51,314</v>
      </c>
    </row>
    <row r="11" spans="2:7" x14ac:dyDescent="0.3">
      <c r="B11" s="57">
        <v>3</v>
      </c>
      <c r="C11" s="57" t="s">
        <v>51</v>
      </c>
      <c r="D11" s="57" t="s">
        <v>144</v>
      </c>
      <c r="E11" s="57" t="str">
        <f>IF(AND(Forecast_Model!D22&gt;0,Forecast_Model!E22&gt;0,Forecast_Model!F22&gt;0),"✅ PASS","❌ FAIL")</f>
        <v>✅ PASS</v>
      </c>
      <c r="F11" s="57"/>
      <c r="G11" s="57" t="str">
        <f>"FY26: ₹"&amp;TEXT(Forecast_Model!D22,"#,##0.00")&amp;" | FY27: ₹"&amp;TEXT(Forecast_Model!E22,"#,##0.00")&amp;" | FY28: ₹"&amp;TEXT(Forecast_Model!F22,"#,##0.00")</f>
        <v>FY26: ₹126.47 | FY27: ₹133.30 | FY28: ₹141.75</v>
      </c>
    </row>
    <row r="12" spans="2:7" x14ac:dyDescent="0.3">
      <c r="B12" s="13">
        <v>4</v>
      </c>
      <c r="C12" s="13" t="s">
        <v>52</v>
      </c>
      <c r="D12" s="13" t="s">
        <v>145</v>
      </c>
      <c r="E12" s="13" t="str">
        <f>IF(AND(Assumptions!C23&gt;=-0.2,Assumptions!C23&lt;=0.3,Assumptions!C24&gt;=-0.2,Assumptions!C24&lt;=0.3,Assumptions!C25&gt;=-0.2,Assumptions!C25&lt;=0.3),"✅ PASS","❌ FAIL")</f>
        <v>✅ PASS</v>
      </c>
      <c r="F12" s="13"/>
      <c r="G12" s="13" t="str">
        <f>"FY26: "&amp;TEXT(Assumptions!C23,"0.0%")&amp;" | FY27: "&amp;TEXT(Assumptions!C24,"0.0%")&amp;" | FY28: "&amp;TEXT(Assumptions!C25,"0.0%")</f>
        <v>FY26: 4.0% | FY27: 4.5% | FY28: 5.0%</v>
      </c>
    </row>
    <row r="13" spans="2:7" x14ac:dyDescent="0.3">
      <c r="B13" s="57">
        <v>5</v>
      </c>
      <c r="C13" s="57" t="s">
        <v>146</v>
      </c>
      <c r="D13" s="57" t="s">
        <v>147</v>
      </c>
      <c r="E13" s="57" t="str">
        <f>IF(AND(Assumptions!C26&gt;=0.15,Assumptions!C26&lt;=0.4),"✅ PASS","❌ FAIL")</f>
        <v>✅ PASS</v>
      </c>
      <c r="F13" s="57"/>
      <c r="G13" s="57" t="str">
        <f>"EBITDA Margin: "&amp;TEXT(Assumptions!C26,"0.0%")</f>
        <v>EBITDA Margin: 25.5%</v>
      </c>
    </row>
    <row r="14" spans="2:7" x14ac:dyDescent="0.3">
      <c r="B14" s="13">
        <v>6</v>
      </c>
      <c r="C14" s="13" t="s">
        <v>53</v>
      </c>
      <c r="D14" s="13" t="s">
        <v>148</v>
      </c>
      <c r="E14" s="13" t="str">
        <f>IF(AND(Assumptions!C30&gt;=0.15,Assumptions!C30&lt;=0.35),"✅ PASS","❌ FAIL")</f>
        <v>✅ PASS</v>
      </c>
      <c r="F14" s="13"/>
      <c r="G14" s="13" t="str">
        <f>"Tax Rate: "&amp;TEXT(Assumptions!C30,"0.0%")</f>
        <v>Tax Rate: 26.0%</v>
      </c>
    </row>
    <row r="15" spans="2:7" x14ac:dyDescent="0.3">
      <c r="B15" s="57">
        <v>7</v>
      </c>
      <c r="C15" s="57" t="s">
        <v>149</v>
      </c>
      <c r="D15" s="57" t="s">
        <v>150</v>
      </c>
      <c r="E15" s="57" t="str">
        <f>IF(AND(Forecast_Model!D29&gt;0,Forecast_Model!E29&gt;0,Forecast_Model!F29&gt;0),"✅ PASS","❌ FAIL")</f>
        <v>✅ PASS</v>
      </c>
      <c r="F15" s="57"/>
      <c r="G15" s="57" t="str">
        <f>"FY26: "&amp;TEXT(Forecast_Model!D29,"#,##0")&amp;" | FY27: "&amp;TEXT(Forecast_Model!E29,"#,##0")&amp;" | FY28: "&amp;TEXT(Forecast_Model!F29,"#,##0")</f>
        <v>FY26: 44,987 | FY27: 47,422 | FY28: 50,440</v>
      </c>
    </row>
    <row r="16" spans="2:7" x14ac:dyDescent="0.3">
      <c r="B16" s="13">
        <v>8</v>
      </c>
      <c r="C16" s="13" t="s">
        <v>151</v>
      </c>
      <c r="D16" s="13" t="s">
        <v>152</v>
      </c>
      <c r="E16" s="13" t="str">
        <f>IF(AND(Historical_Data!J5&gt;0,Historical_Data!J9&gt;0,Historical_Data!J10&gt;0),"✅ PASS","❌ FAIL")</f>
        <v>✅ PASS</v>
      </c>
      <c r="F16" s="13"/>
      <c r="G16" s="13" t="str">
        <f>"Rev: "&amp;TEXT(Historical_Data!J5,"#,##0")&amp;" | NP: "&amp;TEXT(Historical_Data!J9,"#,##0")&amp;" | EPS: "&amp;TEXT(Historical_Data!J10,"#,##0.00")</f>
        <v>Rev: 2,55,324 | NP: 48,797 | EPS: 134.20</v>
      </c>
    </row>
    <row r="17" spans="2:7" x14ac:dyDescent="0.3">
      <c r="B17" s="57">
        <v>9</v>
      </c>
      <c r="C17" s="57" t="s">
        <v>153</v>
      </c>
      <c r="D17" s="57" t="s">
        <v>154</v>
      </c>
      <c r="E17" s="57" t="str">
        <f>IF(AND(Forecast_Model!D21&gt;=0.1,Forecast_Model!D21&lt;=0.3),"✅ PASS","❌ FAIL")</f>
        <v>✅ PASS</v>
      </c>
      <c r="F17" s="57"/>
      <c r="G17" s="57" t="str">
        <f>"Net Margin FY26: "&amp;TEXT(Forecast_Model!D21,"0.0%")</f>
        <v>Net Margin FY26: 17.2%</v>
      </c>
    </row>
    <row r="18" spans="2:7" x14ac:dyDescent="0.3">
      <c r="B18" s="13">
        <v>10</v>
      </c>
      <c r="C18" s="13" t="s">
        <v>155</v>
      </c>
      <c r="D18" s="13" t="s">
        <v>156</v>
      </c>
      <c r="E18" s="13" t="str">
        <f>IF(AND(ISNUMBER(Forecast_Model!D13),ISNUMBER(Forecast_Model!D20),ISNUMBER(Forecast_Model!D22),ISNUMBER(Forecast_Model!D29)),"✅ PASS","❌ FAIL")</f>
        <v>✅ PASS</v>
      </c>
      <c r="F18" s="13"/>
      <c r="G18" s="13" t="s">
        <v>157</v>
      </c>
    </row>
    <row r="19" spans="2:7" x14ac:dyDescent="0.3">
      <c r="B19" s="57">
        <v>11</v>
      </c>
      <c r="C19" s="57" t="s">
        <v>158</v>
      </c>
      <c r="D19" s="57" t="s">
        <v>159</v>
      </c>
      <c r="E19" s="57" t="str">
        <f>IF(OR(Assumptions!C5="Base",Assumptions!C5="Bull",Assumptions!C5="Bear"),"✅ PASS","❌ FAIL")</f>
        <v>✅ PASS</v>
      </c>
      <c r="F19" s="57"/>
      <c r="G19" s="57" t="str">
        <f>"Selected: "&amp;Assumptions!C5</f>
        <v>Selected: Bear</v>
      </c>
    </row>
    <row r="21" spans="2:7" ht="18" x14ac:dyDescent="0.35">
      <c r="B21" s="75" t="s">
        <v>244</v>
      </c>
      <c r="C21" s="75"/>
      <c r="D21" s="75"/>
      <c r="E21" s="75"/>
      <c r="F21" s="75"/>
      <c r="G21" s="75"/>
    </row>
    <row r="22" spans="2:7" x14ac:dyDescent="0.3">
      <c r="B22" s="60" t="s">
        <v>43</v>
      </c>
      <c r="C22" s="60" t="s">
        <v>245</v>
      </c>
      <c r="D22" s="60" t="s">
        <v>57</v>
      </c>
      <c r="E22" s="60" t="s">
        <v>246</v>
      </c>
      <c r="F22" s="60" t="s">
        <v>46</v>
      </c>
      <c r="G22" s="60" t="s">
        <v>247</v>
      </c>
    </row>
    <row r="23" spans="2:7" x14ac:dyDescent="0.3">
      <c r="B23" s="77">
        <v>1</v>
      </c>
      <c r="C23" s="77" t="s">
        <v>248</v>
      </c>
      <c r="D23" s="77" t="s">
        <v>249</v>
      </c>
      <c r="E23" s="77" t="s">
        <v>320</v>
      </c>
      <c r="F23" s="77" t="s">
        <v>315</v>
      </c>
      <c r="G23" s="77" t="s">
        <v>325</v>
      </c>
    </row>
    <row r="24" spans="2:7" x14ac:dyDescent="0.3">
      <c r="B24" s="2">
        <v>2</v>
      </c>
      <c r="C24" s="2" t="s">
        <v>250</v>
      </c>
      <c r="D24" s="2" t="s">
        <v>251</v>
      </c>
      <c r="E24" s="2" t="s">
        <v>252</v>
      </c>
      <c r="F24" s="2" t="s">
        <v>253</v>
      </c>
      <c r="G24" s="2" t="s">
        <v>254</v>
      </c>
    </row>
    <row r="25" spans="2:7" x14ac:dyDescent="0.3">
      <c r="B25" s="2">
        <v>3</v>
      </c>
      <c r="C25" s="2" t="s">
        <v>255</v>
      </c>
      <c r="D25" s="2" t="s">
        <v>256</v>
      </c>
      <c r="E25" s="2" t="s">
        <v>257</v>
      </c>
      <c r="F25" s="2" t="s">
        <v>253</v>
      </c>
      <c r="G25" s="2" t="s">
        <v>258</v>
      </c>
    </row>
    <row r="26" spans="2:7" x14ac:dyDescent="0.3">
      <c r="B26" s="2">
        <v>4</v>
      </c>
      <c r="C26" s="2" t="s">
        <v>259</v>
      </c>
      <c r="D26" s="2" t="s">
        <v>260</v>
      </c>
      <c r="E26" s="78">
        <v>0.19109999999999999</v>
      </c>
      <c r="F26" s="2" t="s">
        <v>253</v>
      </c>
      <c r="G26" s="2" t="s">
        <v>261</v>
      </c>
    </row>
    <row r="27" spans="2:7" x14ac:dyDescent="0.3">
      <c r="B27" s="58">
        <v>5</v>
      </c>
      <c r="C27" s="58" t="s">
        <v>262</v>
      </c>
      <c r="D27" s="58" t="s">
        <v>263</v>
      </c>
      <c r="E27" s="58" t="s">
        <v>305</v>
      </c>
      <c r="F27" s="58" t="s">
        <v>297</v>
      </c>
      <c r="G27" s="58" t="s">
        <v>309</v>
      </c>
    </row>
    <row r="28" spans="2:7" x14ac:dyDescent="0.3">
      <c r="B28" s="2">
        <v>6</v>
      </c>
      <c r="C28" s="2" t="s">
        <v>264</v>
      </c>
      <c r="D28" s="2" t="s">
        <v>265</v>
      </c>
      <c r="E28" s="2" t="s">
        <v>266</v>
      </c>
      <c r="F28" s="2" t="s">
        <v>253</v>
      </c>
      <c r="G28" s="2" t="s">
        <v>267</v>
      </c>
    </row>
    <row r="29" spans="2:7" x14ac:dyDescent="0.3">
      <c r="B29" s="2">
        <v>7</v>
      </c>
      <c r="C29" s="2" t="s">
        <v>268</v>
      </c>
      <c r="D29" s="2" t="s">
        <v>269</v>
      </c>
      <c r="E29" s="2" t="s">
        <v>270</v>
      </c>
      <c r="F29" s="2" t="s">
        <v>253</v>
      </c>
      <c r="G29" s="2" t="s">
        <v>271</v>
      </c>
    </row>
    <row r="30" spans="2:7" x14ac:dyDescent="0.3">
      <c r="B30" s="2">
        <v>8</v>
      </c>
      <c r="C30" s="2" t="s">
        <v>272</v>
      </c>
      <c r="D30" s="2" t="s">
        <v>273</v>
      </c>
      <c r="E30" s="2" t="s">
        <v>274</v>
      </c>
      <c r="F30" s="2" t="s">
        <v>253</v>
      </c>
      <c r="G30" s="2" t="s">
        <v>275</v>
      </c>
    </row>
    <row r="31" spans="2:7" x14ac:dyDescent="0.3">
      <c r="B31" s="79">
        <v>9</v>
      </c>
      <c r="C31" s="79" t="s">
        <v>276</v>
      </c>
      <c r="D31" s="79" t="s">
        <v>277</v>
      </c>
      <c r="E31" s="79" t="s">
        <v>278</v>
      </c>
      <c r="F31" s="79" t="s">
        <v>297</v>
      </c>
      <c r="G31" s="79" t="s">
        <v>314</v>
      </c>
    </row>
    <row r="32" spans="2:7" x14ac:dyDescent="0.3">
      <c r="B32" s="2">
        <v>10</v>
      </c>
      <c r="C32" s="2" t="s">
        <v>279</v>
      </c>
      <c r="D32" s="2" t="s">
        <v>280</v>
      </c>
      <c r="E32" s="2" t="s">
        <v>281</v>
      </c>
      <c r="F32" s="2" t="s">
        <v>253</v>
      </c>
      <c r="G32" s="2" t="s">
        <v>282</v>
      </c>
    </row>
    <row r="33" spans="2:7" x14ac:dyDescent="0.3">
      <c r="B33" s="2">
        <v>11</v>
      </c>
      <c r="C33" s="2" t="s">
        <v>283</v>
      </c>
      <c r="D33" s="2" t="s">
        <v>284</v>
      </c>
      <c r="E33" s="2" t="s">
        <v>285</v>
      </c>
      <c r="F33" s="2" t="s">
        <v>253</v>
      </c>
      <c r="G33" s="2" t="s">
        <v>286</v>
      </c>
    </row>
    <row r="34" spans="2:7" x14ac:dyDescent="0.3">
      <c r="B34" s="2">
        <v>12</v>
      </c>
      <c r="C34" s="2" t="s">
        <v>287</v>
      </c>
      <c r="D34" s="2" t="s">
        <v>288</v>
      </c>
      <c r="E34" s="2" t="s">
        <v>289</v>
      </c>
      <c r="F34" s="2" t="s">
        <v>253</v>
      </c>
      <c r="G34" s="2" t="s">
        <v>290</v>
      </c>
    </row>
    <row r="35" spans="2:7" x14ac:dyDescent="0.3">
      <c r="B35" s="2">
        <v>13</v>
      </c>
      <c r="C35" s="2" t="s">
        <v>165</v>
      </c>
      <c r="D35" s="2" t="s">
        <v>291</v>
      </c>
      <c r="E35" s="78">
        <v>0.13</v>
      </c>
      <c r="F35" s="2" t="s">
        <v>253</v>
      </c>
      <c r="G35" s="2" t="s">
        <v>282</v>
      </c>
    </row>
    <row r="37" spans="2:7" ht="15.6" x14ac:dyDescent="0.3">
      <c r="B37" s="76" t="s">
        <v>292</v>
      </c>
      <c r="C37" s="59"/>
      <c r="D37" s="59"/>
      <c r="E37" s="59"/>
      <c r="F37" s="59"/>
      <c r="G37" s="59"/>
    </row>
    <row r="38" spans="2:7" x14ac:dyDescent="0.3">
      <c r="B38" t="s">
        <v>293</v>
      </c>
      <c r="C38">
        <v>13</v>
      </c>
      <c r="E38" t="s">
        <v>140</v>
      </c>
      <c r="F38">
        <v>13</v>
      </c>
    </row>
    <row r="39" spans="2:7" x14ac:dyDescent="0.3">
      <c r="B39" t="s">
        <v>294</v>
      </c>
      <c r="C39">
        <v>0</v>
      </c>
      <c r="D39" t="s">
        <v>295</v>
      </c>
      <c r="E39">
        <v>3</v>
      </c>
      <c r="F39">
        <v>3</v>
      </c>
    </row>
    <row r="41" spans="2:7" x14ac:dyDescent="0.3">
      <c r="B41" t="s">
        <v>296</v>
      </c>
    </row>
    <row r="42" spans="2:7" x14ac:dyDescent="0.3">
      <c r="B42" s="3" t="s">
        <v>306</v>
      </c>
      <c r="C42" s="3"/>
      <c r="D42" s="3"/>
      <c r="E42" s="3"/>
      <c r="F42" s="3"/>
      <c r="G42" s="3"/>
    </row>
    <row r="45" spans="2:7" ht="15.6" x14ac:dyDescent="0.3">
      <c r="B45" s="76" t="s">
        <v>298</v>
      </c>
      <c r="C45" s="59"/>
      <c r="D45" s="59"/>
      <c r="E45" s="59"/>
      <c r="F45" s="59"/>
      <c r="G45" s="59"/>
    </row>
    <row r="46" spans="2:7" x14ac:dyDescent="0.3">
      <c r="B46" t="s">
        <v>299</v>
      </c>
    </row>
    <row r="47" spans="2:7" x14ac:dyDescent="0.3">
      <c r="B47" t="s">
        <v>326</v>
      </c>
    </row>
    <row r="48" spans="2:7" x14ac:dyDescent="0.3">
      <c r="B48" t="s">
        <v>300</v>
      </c>
    </row>
    <row r="50" spans="2:2" x14ac:dyDescent="0.3">
      <c r="B50" s="4" t="s">
        <v>316</v>
      </c>
    </row>
    <row r="51" spans="2:2" x14ac:dyDescent="0.3">
      <c r="B51" t="s">
        <v>327</v>
      </c>
    </row>
    <row r="52" spans="2:2" x14ac:dyDescent="0.3">
      <c r="B52" t="s">
        <v>328</v>
      </c>
    </row>
    <row r="53" spans="2:2" x14ac:dyDescent="0.3">
      <c r="B53" t="s">
        <v>317</v>
      </c>
    </row>
    <row r="54" spans="2:2" x14ac:dyDescent="0.3">
      <c r="B54" t="s">
        <v>329</v>
      </c>
    </row>
    <row r="55" spans="2:2" x14ac:dyDescent="0.3">
      <c r="B55" t="s">
        <v>330</v>
      </c>
    </row>
    <row r="56" spans="2:2" x14ac:dyDescent="0.3">
      <c r="B56" t="s">
        <v>318</v>
      </c>
    </row>
    <row r="57" spans="2:2" x14ac:dyDescent="0.3">
      <c r="B57" t="s">
        <v>319</v>
      </c>
    </row>
  </sheetData>
  <mergeCells count="3">
    <mergeCell ref="B1:G1"/>
    <mergeCell ref="B2:G2"/>
    <mergeCell ref="B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9360-E473-44D7-A390-DA85C0107081}">
  <dimension ref="B1:G38"/>
  <sheetViews>
    <sheetView topLeftCell="B9" workbookViewId="0">
      <selection activeCell="E7" sqref="E7"/>
    </sheetView>
  </sheetViews>
  <sheetFormatPr defaultRowHeight="14.4" x14ac:dyDescent="0.3"/>
  <cols>
    <col min="1" max="1" width="0" hidden="1" customWidth="1"/>
    <col min="2" max="2" width="105.44140625" bestFit="1" customWidth="1"/>
    <col min="3" max="3" width="27.6640625" bestFit="1" customWidth="1"/>
    <col min="4" max="4" width="27.5546875" bestFit="1" customWidth="1"/>
    <col min="5" max="5" width="73.5546875" bestFit="1" customWidth="1"/>
    <col min="6" max="6" width="34.88671875" bestFit="1" customWidth="1"/>
    <col min="7" max="7" width="12.77734375" bestFit="1" customWidth="1"/>
  </cols>
  <sheetData>
    <row r="1" spans="2:7" ht="18" x14ac:dyDescent="0.35">
      <c r="B1" s="62" t="s">
        <v>180</v>
      </c>
    </row>
    <row r="2" spans="2:7" x14ac:dyDescent="0.3">
      <c r="B2" s="3" t="s">
        <v>181</v>
      </c>
    </row>
    <row r="4" spans="2:7" ht="15.6" x14ac:dyDescent="0.3">
      <c r="B4" s="63" t="s">
        <v>182</v>
      </c>
    </row>
    <row r="5" spans="2:7" x14ac:dyDescent="0.3">
      <c r="B5" s="64" t="s">
        <v>183</v>
      </c>
      <c r="C5" s="64" t="s">
        <v>184</v>
      </c>
      <c r="D5" s="64" t="s">
        <v>185</v>
      </c>
      <c r="E5" s="64" t="s">
        <v>186</v>
      </c>
      <c r="F5" s="64" t="s">
        <v>187</v>
      </c>
      <c r="G5" s="64" t="s">
        <v>188</v>
      </c>
    </row>
    <row r="6" spans="2:7" x14ac:dyDescent="0.3">
      <c r="B6" s="73">
        <v>1</v>
      </c>
      <c r="C6" s="66" t="s">
        <v>189</v>
      </c>
      <c r="D6" s="66" t="s">
        <v>190</v>
      </c>
      <c r="E6" s="176" t="s">
        <v>368</v>
      </c>
      <c r="F6" s="66" t="s">
        <v>72</v>
      </c>
      <c r="G6" s="86" t="s">
        <v>370</v>
      </c>
    </row>
    <row r="7" spans="2:7" x14ac:dyDescent="0.3">
      <c r="B7" s="74">
        <v>2</v>
      </c>
      <c r="C7" t="s">
        <v>191</v>
      </c>
      <c r="D7" t="s">
        <v>192</v>
      </c>
      <c r="E7" s="177" t="s">
        <v>375</v>
      </c>
      <c r="F7" t="s">
        <v>71</v>
      </c>
      <c r="G7" s="87" t="s">
        <v>370</v>
      </c>
    </row>
    <row r="8" spans="2:7" x14ac:dyDescent="0.3">
      <c r="B8" s="73">
        <v>3</v>
      </c>
      <c r="C8" s="66" t="s">
        <v>193</v>
      </c>
      <c r="D8" s="66" t="s">
        <v>192</v>
      </c>
      <c r="E8" s="176" t="s">
        <v>376</v>
      </c>
      <c r="F8" s="66" t="s">
        <v>70</v>
      </c>
      <c r="G8" s="86" t="s">
        <v>370</v>
      </c>
    </row>
    <row r="9" spans="2:7" x14ac:dyDescent="0.3">
      <c r="B9" s="74">
        <v>4</v>
      </c>
      <c r="C9" t="s">
        <v>378</v>
      </c>
      <c r="D9" t="s">
        <v>379</v>
      </c>
      <c r="E9" s="177" t="s">
        <v>377</v>
      </c>
      <c r="F9" t="s">
        <v>380</v>
      </c>
      <c r="G9" s="87" t="s">
        <v>370</v>
      </c>
    </row>
    <row r="10" spans="2:7" x14ac:dyDescent="0.3">
      <c r="B10" s="73">
        <v>5</v>
      </c>
      <c r="C10" s="66" t="s">
        <v>194</v>
      </c>
      <c r="D10" s="66" t="s">
        <v>195</v>
      </c>
      <c r="E10" s="176" t="s">
        <v>196</v>
      </c>
      <c r="F10" s="66" t="s">
        <v>197</v>
      </c>
      <c r="G10" s="86" t="s">
        <v>370</v>
      </c>
    </row>
    <row r="11" spans="2:7" x14ac:dyDescent="0.3">
      <c r="B11" s="74">
        <v>6</v>
      </c>
      <c r="C11" t="s">
        <v>198</v>
      </c>
      <c r="D11" t="s">
        <v>199</v>
      </c>
      <c r="E11" s="177" t="s">
        <v>200</v>
      </c>
      <c r="F11" t="s">
        <v>197</v>
      </c>
      <c r="G11" s="87" t="s">
        <v>370</v>
      </c>
    </row>
    <row r="12" spans="2:7" x14ac:dyDescent="0.3">
      <c r="B12" s="73">
        <v>7</v>
      </c>
      <c r="C12" s="66" t="s">
        <v>201</v>
      </c>
      <c r="D12" s="66" t="s">
        <v>202</v>
      </c>
      <c r="E12" s="176" t="s">
        <v>369</v>
      </c>
      <c r="F12" s="66" t="s">
        <v>72</v>
      </c>
      <c r="G12" s="86" t="s">
        <v>370</v>
      </c>
    </row>
    <row r="13" spans="2:7" x14ac:dyDescent="0.3">
      <c r="B13" s="74">
        <v>8</v>
      </c>
      <c r="C13" t="s">
        <v>372</v>
      </c>
      <c r="D13" t="s">
        <v>373</v>
      </c>
      <c r="E13" s="177" t="s">
        <v>371</v>
      </c>
      <c r="F13" t="s">
        <v>374</v>
      </c>
      <c r="G13" s="87" t="s">
        <v>370</v>
      </c>
    </row>
    <row r="15" spans="2:7" ht="15.6" x14ac:dyDescent="0.3">
      <c r="B15" s="63" t="s">
        <v>203</v>
      </c>
    </row>
    <row r="16" spans="2:7" x14ac:dyDescent="0.3">
      <c r="B16" s="64" t="s">
        <v>21</v>
      </c>
      <c r="C16" s="64" t="s">
        <v>101</v>
      </c>
      <c r="D16" s="64" t="s">
        <v>12</v>
      </c>
      <c r="E16" s="64" t="s">
        <v>204</v>
      </c>
      <c r="F16" s="64" t="s">
        <v>13</v>
      </c>
    </row>
    <row r="17" spans="2:6" x14ac:dyDescent="0.3">
      <c r="B17" s="66" t="s">
        <v>25</v>
      </c>
      <c r="C17" s="66" t="s">
        <v>205</v>
      </c>
      <c r="D17" s="66" t="s">
        <v>206</v>
      </c>
      <c r="E17" s="66" t="s">
        <v>207</v>
      </c>
      <c r="F17" s="66" t="s">
        <v>208</v>
      </c>
    </row>
    <row r="18" spans="2:6" x14ac:dyDescent="0.3">
      <c r="B18" t="s">
        <v>26</v>
      </c>
      <c r="C18" t="s">
        <v>209</v>
      </c>
      <c r="D18" t="s">
        <v>206</v>
      </c>
      <c r="E18" t="s">
        <v>207</v>
      </c>
      <c r="F18" t="s">
        <v>210</v>
      </c>
    </row>
    <row r="19" spans="2:6" x14ac:dyDescent="0.3">
      <c r="B19" s="66" t="s">
        <v>29</v>
      </c>
      <c r="C19" s="66" t="s">
        <v>211</v>
      </c>
      <c r="D19" s="66" t="s">
        <v>206</v>
      </c>
      <c r="E19" s="66" t="s">
        <v>207</v>
      </c>
      <c r="F19" s="66" t="s">
        <v>212</v>
      </c>
    </row>
    <row r="20" spans="2:6" x14ac:dyDescent="0.3">
      <c r="B20" t="s">
        <v>30</v>
      </c>
      <c r="C20" t="s">
        <v>213</v>
      </c>
      <c r="D20" t="s">
        <v>6</v>
      </c>
      <c r="E20" t="s">
        <v>207</v>
      </c>
      <c r="F20" t="s">
        <v>214</v>
      </c>
    </row>
    <row r="21" spans="2:6" x14ac:dyDescent="0.3">
      <c r="B21" s="66" t="s">
        <v>74</v>
      </c>
      <c r="C21" s="67">
        <v>607979</v>
      </c>
      <c r="D21" s="66" t="s">
        <v>215</v>
      </c>
      <c r="E21" s="66">
        <v>1</v>
      </c>
      <c r="F21" s="66" t="s">
        <v>216</v>
      </c>
    </row>
    <row r="22" spans="2:6" x14ac:dyDescent="0.3">
      <c r="B22" t="s">
        <v>73</v>
      </c>
      <c r="C22" t="s">
        <v>217</v>
      </c>
      <c r="D22" t="s">
        <v>218</v>
      </c>
      <c r="E22">
        <v>1</v>
      </c>
      <c r="F22" t="s">
        <v>219</v>
      </c>
    </row>
    <row r="23" spans="2:6" x14ac:dyDescent="0.3">
      <c r="B23" s="66" t="s">
        <v>220</v>
      </c>
      <c r="C23" s="68">
        <v>0.24299999999999999</v>
      </c>
      <c r="D23" s="66" t="s">
        <v>221</v>
      </c>
      <c r="E23" s="66">
        <v>4</v>
      </c>
      <c r="F23" s="66" t="s">
        <v>222</v>
      </c>
    </row>
    <row r="24" spans="2:6" x14ac:dyDescent="0.3">
      <c r="B24" t="s">
        <v>223</v>
      </c>
      <c r="C24" t="s">
        <v>224</v>
      </c>
      <c r="D24" t="s">
        <v>225</v>
      </c>
      <c r="E24">
        <v>7</v>
      </c>
      <c r="F24" t="s">
        <v>226</v>
      </c>
    </row>
    <row r="25" spans="2:6" x14ac:dyDescent="0.3">
      <c r="B25" s="66" t="s">
        <v>227</v>
      </c>
      <c r="C25" s="68">
        <v>0.13300000000000001</v>
      </c>
      <c r="D25" s="66" t="s">
        <v>221</v>
      </c>
      <c r="E25" s="66">
        <v>7</v>
      </c>
      <c r="F25" s="66" t="s">
        <v>228</v>
      </c>
    </row>
    <row r="27" spans="2:6" ht="15.6" x14ac:dyDescent="0.3">
      <c r="B27" s="63" t="s">
        <v>229</v>
      </c>
    </row>
    <row r="28" spans="2:6" x14ac:dyDescent="0.3">
      <c r="B28" t="s">
        <v>230</v>
      </c>
    </row>
    <row r="30" spans="2:6" x14ac:dyDescent="0.3">
      <c r="B30" s="65" t="s">
        <v>231</v>
      </c>
    </row>
    <row r="31" spans="2:6" x14ac:dyDescent="0.3">
      <c r="B31" t="s">
        <v>232</v>
      </c>
    </row>
    <row r="32" spans="2:6" x14ac:dyDescent="0.3">
      <c r="B32" t="s">
        <v>233</v>
      </c>
    </row>
    <row r="33" spans="2:7" x14ac:dyDescent="0.3">
      <c r="B33" t="s">
        <v>234</v>
      </c>
    </row>
    <row r="34" spans="2:7" x14ac:dyDescent="0.3">
      <c r="B34" t="s">
        <v>235</v>
      </c>
    </row>
    <row r="35" spans="2:7" x14ac:dyDescent="0.3">
      <c r="B35" s="269" t="s">
        <v>313</v>
      </c>
      <c r="C35" s="247"/>
      <c r="D35" s="247"/>
      <c r="E35" s="247"/>
      <c r="F35" s="247"/>
      <c r="G35" s="247"/>
    </row>
    <row r="36" spans="2:7" x14ac:dyDescent="0.3">
      <c r="B36" s="270" t="s">
        <v>381</v>
      </c>
      <c r="C36" s="247"/>
      <c r="D36" s="247"/>
      <c r="E36" s="247"/>
      <c r="F36" s="247"/>
      <c r="G36" s="247"/>
    </row>
    <row r="37" spans="2:7" x14ac:dyDescent="0.3">
      <c r="B37" s="247" t="s">
        <v>382</v>
      </c>
      <c r="C37" s="247"/>
      <c r="D37" s="247"/>
      <c r="E37" s="247"/>
      <c r="F37" s="247"/>
      <c r="G37" s="247"/>
    </row>
    <row r="38" spans="2:7" x14ac:dyDescent="0.3">
      <c r="B38" s="247" t="s">
        <v>383</v>
      </c>
      <c r="C38" s="247"/>
      <c r="D38" s="247"/>
      <c r="E38" s="247"/>
      <c r="F38" s="247"/>
      <c r="G38" s="247"/>
    </row>
  </sheetData>
  <mergeCells count="4">
    <mergeCell ref="B35:G35"/>
    <mergeCell ref="B36:G36"/>
    <mergeCell ref="B37:G37"/>
    <mergeCell ref="B38:G38"/>
  </mergeCells>
  <hyperlinks>
    <hyperlink ref="E6:E13" r:id="rId1" display="https://www.tcs.com/investor-relations/financial-reports/annual-reports" xr:uid="{0AB77241-69A9-4471-B790-B9DB704F435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1df982-4e47-4b8b-a3c1-542698c86c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01C6810D6FB4BBF454116F58BDB65" ma:contentTypeVersion="5" ma:contentTypeDescription="Create a new document." ma:contentTypeScope="" ma:versionID="c881d462b4789006b3b727e2b468ccd2">
  <xsd:schema xmlns:xsd="http://www.w3.org/2001/XMLSchema" xmlns:xs="http://www.w3.org/2001/XMLSchema" xmlns:p="http://schemas.microsoft.com/office/2006/metadata/properties" xmlns:ns3="cb1df982-4e47-4b8b-a3c1-542698c86caf" targetNamespace="http://schemas.microsoft.com/office/2006/metadata/properties" ma:root="true" ma:fieldsID="630bf3197456202e9018fb40b0a42a83" ns3:_="">
    <xsd:import namespace="cb1df982-4e47-4b8b-a3c1-542698c86c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df982-4e47-4b8b-a3c1-542698c86c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2F1CDE-B09A-4758-A820-DE4E75CA1544}">
  <ds:schemaRefs>
    <ds:schemaRef ds:uri="http://purl.org/dc/elements/1.1/"/>
    <ds:schemaRef ds:uri="http://schemas.microsoft.com/office/2006/metadata/properties"/>
    <ds:schemaRef ds:uri="cb1df982-4e47-4b8b-a3c1-542698c86caf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0E48F9-9967-458F-81F7-9807121568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162579-B8F5-4852-BFB0-6DB56CF502D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b1df982-4e47-4b8b-a3c1-542698c86caf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Historical_Data</vt:lpstr>
      <vt:lpstr>Assumptions</vt:lpstr>
      <vt:lpstr>Forecast_Model</vt:lpstr>
      <vt:lpstr>Validation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Prasath D P</dc:creator>
  <cp:lastModifiedBy>Sai Prasath D P</cp:lastModifiedBy>
  <dcterms:created xsi:type="dcterms:W3CDTF">2026-04-03T09:04:27Z</dcterms:created>
  <dcterms:modified xsi:type="dcterms:W3CDTF">2026-09-10T12:06:36Z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0x0101006BC01C6810D6FB4BBF454116F58BDB65</vt:lpwstr>
  </property>
</Properties>
</file>